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C A P  R A T E  S T U D I E S\CAP RATE STUDY 2022\"/>
    </mc:Choice>
  </mc:AlternateContent>
  <xr:revisionPtr revIDLastSave="0" documentId="13_ncr:1_{A59FBDB3-A845-4C68-B90F-BBEB4FCA9865}" xr6:coauthVersionLast="47" xr6:coauthVersionMax="47" xr10:uidLastSave="{00000000-0000-0000-0000-000000000000}"/>
  <bookViews>
    <workbookView xWindow="-120" yWindow="-120" windowWidth="24240" windowHeight="13140" firstSheet="41" activeTab="42" xr2:uid="{D3A56842-0CD0-49E7-8EE0-292C31C33472}"/>
  </bookViews>
  <sheets>
    <sheet name="Index sheet" sheetId="83" r:id="rId1"/>
    <sheet name="CapRate_AC P United" sheetId="2" r:id="rId2"/>
    <sheet name="S&amp;D_AC P United" sheetId="3" r:id="rId3"/>
    <sheet name="Debt_AC P United" sheetId="4" r:id="rId4"/>
    <sheet name="CF Multiples_AC P United" sheetId="5" r:id="rId5"/>
    <sheet name="CapRate_AC P Delta" sheetId="6" r:id="rId6"/>
    <sheet name="S&amp;D_AC P Delta" sheetId="7" r:id="rId7"/>
    <sheet name="Debt_AC P Delta" sheetId="8" r:id="rId8"/>
    <sheet name="CF Multiples_AC P Delta" sheetId="9" r:id="rId9"/>
    <sheet name="CapRate_AC P Skywest" sheetId="10" r:id="rId10"/>
    <sheet name="S&amp;D_AC P Skywest" sheetId="11" r:id="rId11"/>
    <sheet name="Debt_AC P Skywest" sheetId="12" r:id="rId12"/>
    <sheet name="CF Multiples_AC P Skywest" sheetId="13" r:id="rId13"/>
    <sheet name="CapRate_AC P American" sheetId="14" r:id="rId14"/>
    <sheet name="S&amp;D_AC P American" sheetId="15" r:id="rId15"/>
    <sheet name="Debt_AC P American" sheetId="16" r:id="rId16"/>
    <sheet name="CF Multiples_AC P American" sheetId="17" r:id="rId17"/>
    <sheet name="CapRate_AC P Southwest" sheetId="18" r:id="rId18"/>
    <sheet name="S&amp;D_AC P Southwest" sheetId="19" r:id="rId19"/>
    <sheet name="Debt_AC P Southwest" sheetId="20" r:id="rId20"/>
    <sheet name="CF Multiples_AC P Southwest" sheetId="21" r:id="rId21"/>
    <sheet name="CapRate_AC P ALL" sheetId="23" r:id="rId22"/>
    <sheet name="S&amp;D_AC P ALL" sheetId="24" r:id="rId23"/>
    <sheet name="Debt_AC P ALL" sheetId="25" r:id="rId24"/>
    <sheet name="CF Multiples_AC P ALL" sheetId="26" r:id="rId25"/>
    <sheet name="CapRate_AC F FEDEX" sheetId="28" r:id="rId26"/>
    <sheet name="S&amp;D_AC F FEDEX" sheetId="29" r:id="rId27"/>
    <sheet name="Debt_AC F FEDEX" sheetId="30" r:id="rId28"/>
    <sheet name="CF Multiples_AC F FEDEX" sheetId="31" r:id="rId29"/>
    <sheet name="CapRate_AC F UPS" sheetId="32" r:id="rId30"/>
    <sheet name="S&amp;D_AC F UPS" sheetId="33" r:id="rId31"/>
    <sheet name="Debt_AC F UPS" sheetId="34" r:id="rId32"/>
    <sheet name="CF Multiples_AC F UPS" sheetId="35" r:id="rId33"/>
    <sheet name="CapRate_AC F ALL" sheetId="37" r:id="rId34"/>
    <sheet name="S&amp;D_AC F ALL" sheetId="38" r:id="rId35"/>
    <sheet name="Debt_AC F ALL" sheetId="39" r:id="rId36"/>
    <sheet name="CF Multiples_AC F ALL" sheetId="40" r:id="rId37"/>
    <sheet name="CapRate_EU" sheetId="43" r:id="rId38"/>
    <sheet name="S&amp;D_EU" sheetId="44" r:id="rId39"/>
    <sheet name="Debt_EU" sheetId="45" r:id="rId40"/>
    <sheet name="CF Multiples_EU" sheetId="46" r:id="rId41"/>
    <sheet name="CapRate_EU WHOLESALE" sheetId="49" r:id="rId42"/>
    <sheet name="S&amp;D_EU WHOLESALE" sheetId="50" r:id="rId43"/>
    <sheet name="Debt_EU WHOLESALE" sheetId="51" r:id="rId44"/>
    <sheet name="CF Multiples_EU WHOLESALE" sheetId="52" r:id="rId45"/>
    <sheet name="CapRate_ GAS DIST" sheetId="55" r:id="rId46"/>
    <sheet name="S&amp;D_GAS DIST" sheetId="56" r:id="rId47"/>
    <sheet name="Debt_GAS DIST" sheetId="57" r:id="rId48"/>
    <sheet name="CF Multiples_GAS DIST" sheetId="58" r:id="rId49"/>
    <sheet name="CapRate_GP" sheetId="61" r:id="rId50"/>
    <sheet name="S&amp;D_GP" sheetId="62" r:id="rId51"/>
    <sheet name="Debt_GP" sheetId="63" r:id="rId52"/>
    <sheet name="CF Multiples_GP" sheetId="64" r:id="rId53"/>
    <sheet name="CapRate_LQ PL" sheetId="67" r:id="rId54"/>
    <sheet name="S&amp;D_LQ PL" sheetId="68" r:id="rId55"/>
    <sheet name="Debt_LQ PL" sheetId="69" r:id="rId56"/>
    <sheet name="CF Multiples_LQ PL" sheetId="70" r:id="rId57"/>
    <sheet name="CapRate_WATER" sheetId="73" r:id="rId58"/>
    <sheet name="S&amp;D_WATER" sheetId="74" r:id="rId59"/>
    <sheet name="Debt_WATER" sheetId="75" r:id="rId60"/>
    <sheet name="CF Multiples_WATER" sheetId="76" r:id="rId61"/>
    <sheet name="CapRate_RR" sheetId="79" r:id="rId62"/>
    <sheet name="S&amp;D_RR" sheetId="80" r:id="rId63"/>
    <sheet name="Debt_RR" sheetId="81" r:id="rId64"/>
    <sheet name="CF Multiples_RR" sheetId="82" r:id="rId65"/>
  </sheets>
  <externalReferences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__INDEX_SHEET___ASAP_Utilities">'Index sheet'!$A$1</definedName>
    <definedName name="_xlnm.Print_Area" localSheetId="33">'CapRate_AC F ALL'!$A$1:$G$25</definedName>
    <definedName name="_xlnm.Print_Area" localSheetId="25">'CapRate_AC F FEDEX'!$A$1:$G$25</definedName>
    <definedName name="_xlnm.Print_Area" localSheetId="29">'CapRate_AC F UPS'!$A$1:$G$25</definedName>
    <definedName name="_xlnm.Print_Area" localSheetId="21">'CapRate_AC P ALL'!$A$1:$G$24</definedName>
    <definedName name="_xlnm.Print_Area" localSheetId="13">'CapRate_AC P American'!$A$1:$G$24</definedName>
    <definedName name="_xlnm.Print_Area" localSheetId="5">'CapRate_AC P Delta'!$A$1:$G$24</definedName>
    <definedName name="_xlnm.Print_Area" localSheetId="9">'CapRate_AC P Skywest'!$A$1:$G$24</definedName>
    <definedName name="_xlnm.Print_Area" localSheetId="17">'CapRate_AC P Southwest'!$A$1:$G$24</definedName>
    <definedName name="_xlnm.Print_Area" localSheetId="1">'CapRate_AC P United'!$A$1:$G$24</definedName>
    <definedName name="_xlnm.Print_Area" localSheetId="48">'CF Multiples_GAS DIST'!$A$1:$G$34</definedName>
    <definedName name="_xlnm.Print_Area" localSheetId="39">Debt_EU!$A$1:$J$33</definedName>
    <definedName name="_xlnm.Print_Area" localSheetId="43">'Debt_EU WHOLESALE'!$A$1:$J$22</definedName>
    <definedName name="_xlnm.Print_Area" localSheetId="34">'S&amp;D_AC F ALL'!$A$1:$L$48</definedName>
    <definedName name="_xlnm.Print_Area" localSheetId="26">'S&amp;D_AC F FEDEX'!$A$1:$L$42</definedName>
    <definedName name="_xlnm.Print_Area" localSheetId="30">'S&amp;D_AC F UPS'!$A$1:$L$42</definedName>
    <definedName name="_xlnm.Print_Area" localSheetId="22">'S&amp;D_AC P ALL'!$A$1:$L$51</definedName>
    <definedName name="_xlnm.Print_Area" localSheetId="14">'S&amp;D_AC P American'!$A$1:$L$35</definedName>
    <definedName name="_xlnm.Print_Area" localSheetId="6">'S&amp;D_AC P Delta'!$A$1:$L$35</definedName>
    <definedName name="_xlnm.Print_Area" localSheetId="10">'S&amp;D_AC P Skywest'!$A$1:$L$35</definedName>
    <definedName name="_xlnm.Print_Area" localSheetId="18">'S&amp;D_AC P Southwest'!$A$1:$L$35</definedName>
    <definedName name="_xlnm.Print_Area" localSheetId="2">'S&amp;D_AC P United'!$A$1:$L$34</definedName>
    <definedName name="_xlnm.Print_Area" localSheetId="38">'S&amp;D_EU'!$A$1:$K$65</definedName>
    <definedName name="_xlnm.Print_Area" localSheetId="42">'S&amp;D_EU WHOLESALE'!$A$1:$K$41</definedName>
    <definedName name="_xlnm.Print_Area" localSheetId="46">'S&amp;D_GAS DIST'!$A$1:$L$60</definedName>
    <definedName name="_xlnm.Print_Area" localSheetId="50">'S&amp;D_GP'!$A$1:$L$49</definedName>
    <definedName name="_xlnm.Print_Area" localSheetId="54">'S&amp;D_LQ PL'!$A$1:$L$44</definedName>
    <definedName name="_xlnm.Print_Area" localSheetId="62">'S&amp;D_RR'!$A$1:$L$46</definedName>
    <definedName name="_xlnm.Print_Area" localSheetId="58">'S&amp;D_WATER'!$A$1:$L$62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56" l="1"/>
  <c r="B20" i="55"/>
  <c r="B18" i="55"/>
  <c r="I56" i="56"/>
  <c r="I57" i="56"/>
  <c r="H57" i="56"/>
  <c r="D24" i="82"/>
  <c r="D23" i="82"/>
  <c r="C20" i="82"/>
  <c r="E20" i="82" s="1"/>
  <c r="F20" i="82" s="1"/>
  <c r="C19" i="82"/>
  <c r="E19" i="82" s="1"/>
  <c r="F19" i="82" s="1"/>
  <c r="C18" i="82"/>
  <c r="E18" i="82" s="1"/>
  <c r="F18" i="82" s="1"/>
  <c r="C17" i="82"/>
  <c r="E17" i="82" s="1"/>
  <c r="F17" i="82" s="1"/>
  <c r="C16" i="82"/>
  <c r="E16" i="82" s="1"/>
  <c r="F16" i="82" s="1"/>
  <c r="I19" i="81"/>
  <c r="E19" i="81"/>
  <c r="D19" i="81"/>
  <c r="I18" i="81"/>
  <c r="E18" i="81"/>
  <c r="D18" i="81"/>
  <c r="F44" i="80"/>
  <c r="E37" i="80"/>
  <c r="D37" i="80"/>
  <c r="C37" i="80"/>
  <c r="B37" i="80"/>
  <c r="A37" i="80"/>
  <c r="E36" i="80"/>
  <c r="D36" i="80"/>
  <c r="C36" i="80"/>
  <c r="B36" i="80"/>
  <c r="A36" i="80"/>
  <c r="E35" i="80"/>
  <c r="D35" i="80"/>
  <c r="C35" i="80"/>
  <c r="B35" i="80"/>
  <c r="A35" i="80"/>
  <c r="E34" i="80"/>
  <c r="D34" i="80"/>
  <c r="C34" i="80"/>
  <c r="B34" i="80"/>
  <c r="A34" i="80"/>
  <c r="G33" i="80"/>
  <c r="E33" i="80"/>
  <c r="D33" i="80"/>
  <c r="H33" i="80" s="1"/>
  <c r="C33" i="80"/>
  <c r="B33" i="80"/>
  <c r="A33" i="80"/>
  <c r="J22" i="80"/>
  <c r="G37" i="80" s="1"/>
  <c r="F22" i="80"/>
  <c r="J21" i="80"/>
  <c r="G36" i="80" s="1"/>
  <c r="F21" i="80"/>
  <c r="J20" i="80"/>
  <c r="G35" i="80" s="1"/>
  <c r="H20" i="80"/>
  <c r="F20" i="80"/>
  <c r="J19" i="80"/>
  <c r="G34" i="80" s="1"/>
  <c r="H34" i="80" s="1"/>
  <c r="F19" i="80"/>
  <c r="J18" i="80"/>
  <c r="F18" i="80"/>
  <c r="C20" i="79"/>
  <c r="E20" i="79" s="1"/>
  <c r="B20" i="79"/>
  <c r="C18" i="79"/>
  <c r="E18" i="79" s="1"/>
  <c r="F18" i="79" s="1"/>
  <c r="B18" i="79"/>
  <c r="B22" i="79" s="1"/>
  <c r="F20" i="79" l="1"/>
  <c r="F22" i="79" s="1"/>
  <c r="J33" i="80"/>
  <c r="H36" i="80"/>
  <c r="H37" i="80"/>
  <c r="J37" i="80" s="1"/>
  <c r="I34" i="80"/>
  <c r="I36" i="80"/>
  <c r="J34" i="80"/>
  <c r="F24" i="82"/>
  <c r="F23" i="82"/>
  <c r="I33" i="80"/>
  <c r="J36" i="80"/>
  <c r="I37" i="80"/>
  <c r="C23" i="82"/>
  <c r="C24" i="82"/>
  <c r="H35" i="80"/>
  <c r="I35" i="80" s="1"/>
  <c r="E23" i="82"/>
  <c r="E24" i="82"/>
  <c r="D26" i="76"/>
  <c r="D25" i="76"/>
  <c r="C22" i="76"/>
  <c r="E22" i="76" s="1"/>
  <c r="F22" i="76" s="1"/>
  <c r="E21" i="76"/>
  <c r="F21" i="76" s="1"/>
  <c r="C21" i="76"/>
  <c r="C20" i="76"/>
  <c r="E20" i="76" s="1"/>
  <c r="F20" i="76" s="1"/>
  <c r="C19" i="76"/>
  <c r="E19" i="76" s="1"/>
  <c r="F19" i="76" s="1"/>
  <c r="C18" i="76"/>
  <c r="E18" i="76" s="1"/>
  <c r="F18" i="76" s="1"/>
  <c r="C17" i="76"/>
  <c r="E17" i="76" s="1"/>
  <c r="F17" i="76" s="1"/>
  <c r="C16" i="76"/>
  <c r="I22" i="75"/>
  <c r="E22" i="75"/>
  <c r="D22" i="75"/>
  <c r="I21" i="75"/>
  <c r="E21" i="75"/>
  <c r="D21" i="75"/>
  <c r="E41" i="74"/>
  <c r="D41" i="74"/>
  <c r="G41" i="74" s="1"/>
  <c r="C41" i="74"/>
  <c r="B41" i="74"/>
  <c r="A41" i="74"/>
  <c r="E40" i="74"/>
  <c r="D40" i="74"/>
  <c r="C40" i="74"/>
  <c r="B40" i="74"/>
  <c r="A40" i="74"/>
  <c r="E39" i="74"/>
  <c r="D39" i="74"/>
  <c r="C39" i="74"/>
  <c r="B39" i="74"/>
  <c r="A39" i="74"/>
  <c r="F38" i="74"/>
  <c r="E38" i="74"/>
  <c r="C38" i="74"/>
  <c r="B38" i="74"/>
  <c r="A38" i="74"/>
  <c r="E37" i="74"/>
  <c r="D37" i="74"/>
  <c r="H37" i="74" s="1"/>
  <c r="C37" i="74"/>
  <c r="B37" i="74"/>
  <c r="A37" i="74"/>
  <c r="E36" i="74"/>
  <c r="D36" i="74"/>
  <c r="C36" i="74"/>
  <c r="B36" i="74"/>
  <c r="A36" i="74"/>
  <c r="E35" i="74"/>
  <c r="D35" i="74"/>
  <c r="C35" i="74"/>
  <c r="B35" i="74"/>
  <c r="A35" i="74"/>
  <c r="J23" i="74"/>
  <c r="F41" i="74" s="1"/>
  <c r="F23" i="74"/>
  <c r="J22" i="74"/>
  <c r="F22" i="74"/>
  <c r="J21" i="74"/>
  <c r="F39" i="74" s="1"/>
  <c r="F21" i="74"/>
  <c r="J20" i="74"/>
  <c r="H20" i="74"/>
  <c r="D38" i="74" s="1"/>
  <c r="F20" i="74"/>
  <c r="J19" i="74"/>
  <c r="F37" i="74" s="1"/>
  <c r="G37" i="74" s="1"/>
  <c r="F19" i="74"/>
  <c r="J18" i="74"/>
  <c r="F36" i="74" s="1"/>
  <c r="H18" i="74"/>
  <c r="F18" i="74"/>
  <c r="J17" i="74"/>
  <c r="F35" i="74" s="1"/>
  <c r="F17" i="74"/>
  <c r="C20" i="73"/>
  <c r="E20" i="73" s="1"/>
  <c r="F20" i="73" s="1"/>
  <c r="B20" i="73"/>
  <c r="C18" i="73"/>
  <c r="E18" i="73" s="1"/>
  <c r="B18" i="73"/>
  <c r="F18" i="73" l="1"/>
  <c r="F22" i="73"/>
  <c r="C26" i="76"/>
  <c r="B22" i="73"/>
  <c r="G36" i="74"/>
  <c r="G38" i="74"/>
  <c r="H38" i="74" s="1"/>
  <c r="I39" i="74"/>
  <c r="I36" i="74"/>
  <c r="I37" i="74"/>
  <c r="I38" i="74"/>
  <c r="I41" i="74"/>
  <c r="H39" i="74"/>
  <c r="I42" i="80"/>
  <c r="I43" i="80"/>
  <c r="E16" i="76"/>
  <c r="C25" i="76"/>
  <c r="G35" i="74"/>
  <c r="I35" i="74" s="1"/>
  <c r="G39" i="74"/>
  <c r="G40" i="74"/>
  <c r="I40" i="74" s="1"/>
  <c r="J35" i="80"/>
  <c r="J42" i="80" s="1"/>
  <c r="H36" i="74"/>
  <c r="H41" i="74"/>
  <c r="J43" i="80"/>
  <c r="E27" i="70"/>
  <c r="E26" i="70"/>
  <c r="D23" i="70"/>
  <c r="F23" i="70" s="1"/>
  <c r="G23" i="70" s="1"/>
  <c r="D22" i="70"/>
  <c r="F22" i="70" s="1"/>
  <c r="G22" i="70" s="1"/>
  <c r="F21" i="70"/>
  <c r="G21" i="70" s="1"/>
  <c r="D20" i="70"/>
  <c r="F20" i="70" s="1"/>
  <c r="G20" i="70" s="1"/>
  <c r="D19" i="70"/>
  <c r="F19" i="70" s="1"/>
  <c r="G19" i="70" s="1"/>
  <c r="D18" i="70"/>
  <c r="F18" i="70" s="1"/>
  <c r="G18" i="70" s="1"/>
  <c r="D17" i="70"/>
  <c r="D26" i="70" s="1"/>
  <c r="G16" i="70"/>
  <c r="F16" i="70"/>
  <c r="D15" i="70"/>
  <c r="F15" i="70" s="1"/>
  <c r="I23" i="69"/>
  <c r="E23" i="69"/>
  <c r="D23" i="69"/>
  <c r="I22" i="69"/>
  <c r="E22" i="69"/>
  <c r="D22" i="69"/>
  <c r="E38" i="68"/>
  <c r="D38" i="68"/>
  <c r="C38" i="68"/>
  <c r="B38" i="68"/>
  <c r="A38" i="68"/>
  <c r="E37" i="68"/>
  <c r="C37" i="68"/>
  <c r="B37" i="68"/>
  <c r="A37" i="68"/>
  <c r="D36" i="68"/>
  <c r="C36" i="68"/>
  <c r="B36" i="68"/>
  <c r="A36" i="68"/>
  <c r="F35" i="68"/>
  <c r="E35" i="68"/>
  <c r="I35" i="68" s="1"/>
  <c r="D35" i="68"/>
  <c r="G35" i="68" s="1"/>
  <c r="C35" i="68"/>
  <c r="B35" i="68"/>
  <c r="A35" i="68"/>
  <c r="F34" i="68"/>
  <c r="E34" i="68"/>
  <c r="D34" i="68"/>
  <c r="C34" i="68"/>
  <c r="B34" i="68"/>
  <c r="A34" i="68"/>
  <c r="F33" i="68"/>
  <c r="D33" i="68"/>
  <c r="C33" i="68"/>
  <c r="B33" i="68"/>
  <c r="A33" i="68"/>
  <c r="E32" i="68"/>
  <c r="I32" i="68" s="1"/>
  <c r="D32" i="68"/>
  <c r="C32" i="68"/>
  <c r="B32" i="68"/>
  <c r="A32" i="68"/>
  <c r="E31" i="68"/>
  <c r="D31" i="68"/>
  <c r="F30" i="68"/>
  <c r="E30" i="68"/>
  <c r="D30" i="68"/>
  <c r="C30" i="68"/>
  <c r="B30" i="68"/>
  <c r="A30" i="68"/>
  <c r="J23" i="68"/>
  <c r="F38" i="68" s="1"/>
  <c r="F23" i="68"/>
  <c r="J22" i="68"/>
  <c r="F37" i="68" s="1"/>
  <c r="H22" i="68"/>
  <c r="D37" i="68" s="1"/>
  <c r="F22" i="68"/>
  <c r="J21" i="68"/>
  <c r="F36" i="68" s="1"/>
  <c r="I21" i="68"/>
  <c r="E36" i="68" s="1"/>
  <c r="F21" i="68"/>
  <c r="H20" i="68"/>
  <c r="F20" i="68"/>
  <c r="F19" i="68"/>
  <c r="I18" i="68"/>
  <c r="E33" i="68" s="1"/>
  <c r="F18" i="68"/>
  <c r="J17" i="68"/>
  <c r="F32" i="68" s="1"/>
  <c r="G32" i="68" s="1"/>
  <c r="F17" i="68"/>
  <c r="J16" i="68"/>
  <c r="F31" i="68" s="1"/>
  <c r="F16" i="68"/>
  <c r="J15" i="68"/>
  <c r="F15" i="68"/>
  <c r="C20" i="67"/>
  <c r="E20" i="67" s="1"/>
  <c r="B20" i="67"/>
  <c r="C18" i="67"/>
  <c r="E18" i="67" s="1"/>
  <c r="B18" i="67"/>
  <c r="F18" i="67" l="1"/>
  <c r="B22" i="67"/>
  <c r="F20" i="67"/>
  <c r="F22" i="67" s="1"/>
  <c r="I33" i="68"/>
  <c r="G37" i="68"/>
  <c r="H37" i="68" s="1"/>
  <c r="G36" i="68"/>
  <c r="H36" i="68" s="1"/>
  <c r="I36" i="68"/>
  <c r="H34" i="68"/>
  <c r="I46" i="74"/>
  <c r="I47" i="74"/>
  <c r="G31" i="68"/>
  <c r="I31" i="68" s="1"/>
  <c r="H32" i="68"/>
  <c r="D27" i="70"/>
  <c r="G30" i="68"/>
  <c r="I30" i="68" s="1"/>
  <c r="G33" i="68"/>
  <c r="H33" i="68" s="1"/>
  <c r="G15" i="70"/>
  <c r="F17" i="70"/>
  <c r="G17" i="70" s="1"/>
  <c r="E26" i="76"/>
  <c r="E25" i="76"/>
  <c r="F16" i="76"/>
  <c r="H35" i="74"/>
  <c r="H31" i="68"/>
  <c r="H35" i="68"/>
  <c r="G34" i="68"/>
  <c r="I34" i="68" s="1"/>
  <c r="G38" i="68"/>
  <c r="H38" i="68" s="1"/>
  <c r="H40" i="74"/>
  <c r="E27" i="64"/>
  <c r="E26" i="64"/>
  <c r="D23" i="64"/>
  <c r="F23" i="64" s="1"/>
  <c r="G23" i="64" s="1"/>
  <c r="D22" i="64"/>
  <c r="F22" i="64" s="1"/>
  <c r="G22" i="64" s="1"/>
  <c r="D21" i="64"/>
  <c r="F21" i="64" s="1"/>
  <c r="G21" i="64" s="1"/>
  <c r="D20" i="64"/>
  <c r="F20" i="64" s="1"/>
  <c r="G20" i="64" s="1"/>
  <c r="D19" i="64"/>
  <c r="F19" i="64" s="1"/>
  <c r="G19" i="64" s="1"/>
  <c r="D18" i="64"/>
  <c r="F18" i="64" s="1"/>
  <c r="G18" i="64" s="1"/>
  <c r="D17" i="64"/>
  <c r="F17" i="64" s="1"/>
  <c r="G17" i="64" s="1"/>
  <c r="D16" i="64"/>
  <c r="F16" i="64" s="1"/>
  <c r="G16" i="64" s="1"/>
  <c r="D15" i="64"/>
  <c r="I23" i="63"/>
  <c r="E23" i="63"/>
  <c r="D23" i="63"/>
  <c r="I22" i="63"/>
  <c r="E22" i="63"/>
  <c r="D22" i="63"/>
  <c r="E42" i="62"/>
  <c r="D42" i="62"/>
  <c r="G42" i="62" s="1"/>
  <c r="C42" i="62"/>
  <c r="B42" i="62"/>
  <c r="A42" i="62"/>
  <c r="D41" i="62"/>
  <c r="C41" i="62"/>
  <c r="B41" i="62"/>
  <c r="A41" i="62"/>
  <c r="F40" i="62"/>
  <c r="E40" i="62"/>
  <c r="C40" i="62"/>
  <c r="B40" i="62"/>
  <c r="A40" i="62"/>
  <c r="E39" i="62"/>
  <c r="I39" i="62" s="1"/>
  <c r="D39" i="62"/>
  <c r="C39" i="62"/>
  <c r="B39" i="62"/>
  <c r="A39" i="62"/>
  <c r="E38" i="62"/>
  <c r="D38" i="62"/>
  <c r="C38" i="62"/>
  <c r="B38" i="62"/>
  <c r="A38" i="62"/>
  <c r="F37" i="62"/>
  <c r="E37" i="62"/>
  <c r="D37" i="62"/>
  <c r="C37" i="62"/>
  <c r="B37" i="62"/>
  <c r="A37" i="62"/>
  <c r="E36" i="62"/>
  <c r="I36" i="62" s="1"/>
  <c r="D36" i="62"/>
  <c r="C36" i="62"/>
  <c r="B36" i="62"/>
  <c r="A36" i="62"/>
  <c r="D35" i="62"/>
  <c r="C35" i="62"/>
  <c r="B35" i="62"/>
  <c r="A35" i="62"/>
  <c r="E34" i="62"/>
  <c r="D34" i="62"/>
  <c r="C34" i="62"/>
  <c r="B34" i="62"/>
  <c r="A34" i="62"/>
  <c r="J25" i="62"/>
  <c r="F42" i="62" s="1"/>
  <c r="H25" i="62"/>
  <c r="F25" i="62"/>
  <c r="J24" i="62"/>
  <c r="F41" i="62" s="1"/>
  <c r="I24" i="62"/>
  <c r="E41" i="62" s="1"/>
  <c r="F24" i="62"/>
  <c r="J23" i="62"/>
  <c r="H23" i="62"/>
  <c r="D40" i="62" s="1"/>
  <c r="F23" i="62"/>
  <c r="J22" i="62"/>
  <c r="F39" i="62" s="1"/>
  <c r="G39" i="62" s="1"/>
  <c r="F22" i="62"/>
  <c r="J21" i="62"/>
  <c r="F38" i="62" s="1"/>
  <c r="F21" i="62"/>
  <c r="J20" i="62"/>
  <c r="I20" i="62"/>
  <c r="F20" i="62"/>
  <c r="J19" i="62"/>
  <c r="F36" i="62" s="1"/>
  <c r="G36" i="62" s="1"/>
  <c r="F19" i="62"/>
  <c r="J18" i="62"/>
  <c r="F35" i="62" s="1"/>
  <c r="I18" i="62"/>
  <c r="E35" i="62" s="1"/>
  <c r="F18" i="62"/>
  <c r="J17" i="62"/>
  <c r="F34" i="62" s="1"/>
  <c r="I17" i="62"/>
  <c r="F17" i="62"/>
  <c r="C20" i="61"/>
  <c r="E20" i="61" s="1"/>
  <c r="B20" i="61"/>
  <c r="C18" i="61"/>
  <c r="E18" i="61" s="1"/>
  <c r="B18" i="61"/>
  <c r="F20" i="61" l="1"/>
  <c r="D27" i="64"/>
  <c r="F26" i="70"/>
  <c r="B22" i="61"/>
  <c r="F18" i="61"/>
  <c r="F22" i="61" s="1"/>
  <c r="H37" i="62"/>
  <c r="I40" i="62"/>
  <c r="G38" i="62"/>
  <c r="H38" i="62" s="1"/>
  <c r="I42" i="62"/>
  <c r="G35" i="62"/>
  <c r="I35" i="62"/>
  <c r="G40" i="62"/>
  <c r="H40" i="62" s="1"/>
  <c r="I34" i="62"/>
  <c r="H35" i="62"/>
  <c r="H36" i="62"/>
  <c r="H39" i="62"/>
  <c r="H42" i="62"/>
  <c r="H46" i="74"/>
  <c r="H47" i="74"/>
  <c r="G37" i="62"/>
  <c r="I37" i="62" s="1"/>
  <c r="G41" i="62"/>
  <c r="I41" i="62" s="1"/>
  <c r="F26" i="76"/>
  <c r="F25" i="76"/>
  <c r="G27" i="70"/>
  <c r="G26" i="70"/>
  <c r="I37" i="68"/>
  <c r="I42" i="68" s="1"/>
  <c r="F27" i="70"/>
  <c r="H30" i="68"/>
  <c r="F15" i="64"/>
  <c r="I38" i="68"/>
  <c r="I41" i="68" s="1"/>
  <c r="G34" i="62"/>
  <c r="H34" i="62" s="1"/>
  <c r="D26" i="64"/>
  <c r="E32" i="58"/>
  <c r="E31" i="58"/>
  <c r="D28" i="58"/>
  <c r="F28" i="58" s="1"/>
  <c r="G28" i="58" s="1"/>
  <c r="D27" i="58"/>
  <c r="F27" i="58" s="1"/>
  <c r="G27" i="58" s="1"/>
  <c r="D26" i="58"/>
  <c r="F26" i="58" s="1"/>
  <c r="G26" i="58" s="1"/>
  <c r="D25" i="58"/>
  <c r="F25" i="58" s="1"/>
  <c r="G25" i="58" s="1"/>
  <c r="D24" i="58"/>
  <c r="F24" i="58" s="1"/>
  <c r="G24" i="58" s="1"/>
  <c r="D23" i="58"/>
  <c r="F23" i="58" s="1"/>
  <c r="G23" i="58" s="1"/>
  <c r="D22" i="58"/>
  <c r="F22" i="58" s="1"/>
  <c r="G22" i="58" s="1"/>
  <c r="D21" i="58"/>
  <c r="F21" i="58" s="1"/>
  <c r="G21" i="58" s="1"/>
  <c r="D20" i="58"/>
  <c r="F20" i="58" s="1"/>
  <c r="G20" i="58" s="1"/>
  <c r="D19" i="58"/>
  <c r="F19" i="58" s="1"/>
  <c r="G19" i="58" s="1"/>
  <c r="D18" i="58"/>
  <c r="F18" i="58" s="1"/>
  <c r="G18" i="58" s="1"/>
  <c r="D17" i="58"/>
  <c r="F17" i="58" s="1"/>
  <c r="G17" i="58" s="1"/>
  <c r="D16" i="58"/>
  <c r="I28" i="57"/>
  <c r="E28" i="57"/>
  <c r="D28" i="57"/>
  <c r="I27" i="57"/>
  <c r="E27" i="57"/>
  <c r="D27" i="57"/>
  <c r="F51" i="56"/>
  <c r="E51" i="56"/>
  <c r="D51" i="56"/>
  <c r="C51" i="56"/>
  <c r="B51" i="56"/>
  <c r="A51" i="56"/>
  <c r="E50" i="56"/>
  <c r="D50" i="56"/>
  <c r="C50" i="56"/>
  <c r="B50" i="56"/>
  <c r="A50" i="56"/>
  <c r="E49" i="56"/>
  <c r="I49" i="56" s="1"/>
  <c r="D49" i="56"/>
  <c r="C49" i="56"/>
  <c r="B49" i="56"/>
  <c r="A49" i="56"/>
  <c r="E48" i="56"/>
  <c r="D48" i="56"/>
  <c r="C48" i="56"/>
  <c r="B48" i="56"/>
  <c r="A48" i="56"/>
  <c r="F47" i="56"/>
  <c r="E47" i="56"/>
  <c r="D47" i="56"/>
  <c r="C47" i="56"/>
  <c r="B47" i="56"/>
  <c r="A47" i="56"/>
  <c r="E46" i="56"/>
  <c r="D46" i="56"/>
  <c r="C46" i="56"/>
  <c r="B46" i="56"/>
  <c r="A46" i="56"/>
  <c r="E45" i="56"/>
  <c r="D45" i="56"/>
  <c r="C45" i="56"/>
  <c r="B45" i="56"/>
  <c r="A45" i="56"/>
  <c r="E44" i="56"/>
  <c r="D44" i="56"/>
  <c r="C44" i="56"/>
  <c r="B44" i="56"/>
  <c r="A44" i="56"/>
  <c r="E43" i="56"/>
  <c r="D43" i="56"/>
  <c r="C43" i="56"/>
  <c r="B43" i="56"/>
  <c r="A43" i="56"/>
  <c r="F42" i="56"/>
  <c r="G42" i="56" s="1"/>
  <c r="E42" i="56"/>
  <c r="D42" i="56"/>
  <c r="C42" i="56"/>
  <c r="B42" i="56"/>
  <c r="A42" i="56"/>
  <c r="D41" i="56"/>
  <c r="C41" i="56"/>
  <c r="B41" i="56"/>
  <c r="A41" i="56"/>
  <c r="E40" i="56"/>
  <c r="D40" i="56"/>
  <c r="G40" i="56" s="1"/>
  <c r="C40" i="56"/>
  <c r="B40" i="56"/>
  <c r="A40" i="56"/>
  <c r="F39" i="56"/>
  <c r="E39" i="56"/>
  <c r="D39" i="56"/>
  <c r="C39" i="56"/>
  <c r="B39" i="56"/>
  <c r="A39" i="56"/>
  <c r="J29" i="56"/>
  <c r="I29" i="56"/>
  <c r="F29" i="56"/>
  <c r="J28" i="56"/>
  <c r="F50" i="56" s="1"/>
  <c r="G50" i="56" s="1"/>
  <c r="F28" i="56"/>
  <c r="J27" i="56"/>
  <c r="F49" i="56" s="1"/>
  <c r="G49" i="56" s="1"/>
  <c r="F27" i="56"/>
  <c r="J26" i="56"/>
  <c r="F48" i="56" s="1"/>
  <c r="F26" i="56"/>
  <c r="J25" i="56"/>
  <c r="F25" i="56"/>
  <c r="J24" i="56"/>
  <c r="F46" i="56" s="1"/>
  <c r="G46" i="56" s="1"/>
  <c r="F24" i="56"/>
  <c r="J23" i="56"/>
  <c r="F45" i="56" s="1"/>
  <c r="G45" i="56" s="1"/>
  <c r="F23" i="56"/>
  <c r="J22" i="56"/>
  <c r="F44" i="56" s="1"/>
  <c r="H22" i="56"/>
  <c r="F22" i="56"/>
  <c r="J21" i="56"/>
  <c r="F43" i="56" s="1"/>
  <c r="F21" i="56"/>
  <c r="J20" i="56"/>
  <c r="F20" i="56"/>
  <c r="J19" i="56"/>
  <c r="F41" i="56" s="1"/>
  <c r="I19" i="56"/>
  <c r="E41" i="56" s="1"/>
  <c r="F19" i="56"/>
  <c r="J18" i="56"/>
  <c r="F40" i="56" s="1"/>
  <c r="H18" i="56"/>
  <c r="F18" i="56"/>
  <c r="J17" i="56"/>
  <c r="F17" i="56"/>
  <c r="C20" i="55"/>
  <c r="E20" i="55" s="1"/>
  <c r="C18" i="55"/>
  <c r="E18" i="55" s="1"/>
  <c r="F20" i="55" l="1"/>
  <c r="B22" i="55"/>
  <c r="D32" i="58"/>
  <c r="F18" i="55"/>
  <c r="F16" i="58"/>
  <c r="F31" i="58" s="1"/>
  <c r="G41" i="56"/>
  <c r="H41" i="56" s="1"/>
  <c r="I41" i="56"/>
  <c r="I46" i="56"/>
  <c r="H50" i="56"/>
  <c r="I43" i="56"/>
  <c r="I40" i="56"/>
  <c r="H42" i="56"/>
  <c r="I44" i="56"/>
  <c r="H45" i="56"/>
  <c r="G48" i="56"/>
  <c r="I39" i="56"/>
  <c r="H46" i="62"/>
  <c r="H44" i="56"/>
  <c r="I50" i="56"/>
  <c r="I42" i="56"/>
  <c r="I45" i="56"/>
  <c r="H46" i="56"/>
  <c r="I48" i="56"/>
  <c r="H49" i="56"/>
  <c r="H48" i="56"/>
  <c r="F26" i="64"/>
  <c r="G15" i="64"/>
  <c r="F27" i="64"/>
  <c r="G39" i="56"/>
  <c r="H39" i="56" s="1"/>
  <c r="G43" i="56"/>
  <c r="H43" i="56" s="1"/>
  <c r="G47" i="56"/>
  <c r="I47" i="56" s="1"/>
  <c r="G51" i="56"/>
  <c r="I51" i="56" s="1"/>
  <c r="D31" i="58"/>
  <c r="H42" i="68"/>
  <c r="H41" i="68"/>
  <c r="I38" i="62"/>
  <c r="I46" i="62" s="1"/>
  <c r="H41" i="62"/>
  <c r="H47" i="62" s="1"/>
  <c r="H40" i="56"/>
  <c r="I47" i="62"/>
  <c r="G44" i="56"/>
  <c r="E24" i="52"/>
  <c r="E23" i="52"/>
  <c r="D20" i="52"/>
  <c r="F20" i="52" s="1"/>
  <c r="G20" i="52" s="1"/>
  <c r="F19" i="52"/>
  <c r="G19" i="52" s="1"/>
  <c r="D18" i="52"/>
  <c r="F18" i="52" s="1"/>
  <c r="G18" i="52" s="1"/>
  <c r="D17" i="52"/>
  <c r="F17" i="52" s="1"/>
  <c r="G17" i="52" s="1"/>
  <c r="D16" i="52"/>
  <c r="I20" i="51"/>
  <c r="E20" i="51"/>
  <c r="D20" i="51"/>
  <c r="I19" i="51"/>
  <c r="E19" i="51"/>
  <c r="D19" i="51"/>
  <c r="E34" i="50"/>
  <c r="D34" i="50"/>
  <c r="C34" i="50"/>
  <c r="B34" i="50"/>
  <c r="A34" i="50"/>
  <c r="E33" i="50"/>
  <c r="D33" i="50"/>
  <c r="C33" i="50"/>
  <c r="B33" i="50"/>
  <c r="A33" i="50"/>
  <c r="F32" i="50"/>
  <c r="E32" i="50"/>
  <c r="C32" i="50"/>
  <c r="B32" i="50"/>
  <c r="A32" i="50"/>
  <c r="E31" i="50"/>
  <c r="D31" i="50"/>
  <c r="H31" i="50" s="1"/>
  <c r="C31" i="50"/>
  <c r="B31" i="50"/>
  <c r="A31" i="50"/>
  <c r="E30" i="50"/>
  <c r="D30" i="50"/>
  <c r="C30" i="50"/>
  <c r="B30" i="50"/>
  <c r="A30" i="50"/>
  <c r="J21" i="50"/>
  <c r="F34" i="50" s="1"/>
  <c r="I21" i="50"/>
  <c r="H21" i="50"/>
  <c r="F21" i="50"/>
  <c r="J20" i="50"/>
  <c r="F33" i="50" s="1"/>
  <c r="F20" i="50"/>
  <c r="J19" i="50"/>
  <c r="H19" i="50"/>
  <c r="D32" i="50" s="1"/>
  <c r="F19" i="50"/>
  <c r="J18" i="50"/>
  <c r="F31" i="50" s="1"/>
  <c r="G31" i="50" s="1"/>
  <c r="H18" i="50"/>
  <c r="F18" i="50"/>
  <c r="J17" i="50"/>
  <c r="F30" i="50" s="1"/>
  <c r="H17" i="50"/>
  <c r="F17" i="50"/>
  <c r="C20" i="49"/>
  <c r="E20" i="49" s="1"/>
  <c r="B20" i="49"/>
  <c r="C18" i="49"/>
  <c r="E18" i="49" s="1"/>
  <c r="B18" i="49"/>
  <c r="F22" i="55" l="1"/>
  <c r="B22" i="49"/>
  <c r="F32" i="58"/>
  <c r="G16" i="58"/>
  <c r="G32" i="58" s="1"/>
  <c r="F20" i="49"/>
  <c r="D24" i="52"/>
  <c r="F18" i="49"/>
  <c r="G30" i="50"/>
  <c r="H30" i="50" s="1"/>
  <c r="I33" i="50"/>
  <c r="I31" i="50"/>
  <c r="I32" i="50"/>
  <c r="H32" i="50"/>
  <c r="G32" i="50"/>
  <c r="F16" i="52"/>
  <c r="H51" i="56"/>
  <c r="G33" i="50"/>
  <c r="H33" i="50" s="1"/>
  <c r="D23" i="52"/>
  <c r="H47" i="56"/>
  <c r="G27" i="64"/>
  <c r="G26" i="64"/>
  <c r="G34" i="50"/>
  <c r="I34" i="50" s="1"/>
  <c r="D35" i="46"/>
  <c r="D34" i="46"/>
  <c r="C31" i="46"/>
  <c r="E31" i="46" s="1"/>
  <c r="F31" i="46" s="1"/>
  <c r="C30" i="46"/>
  <c r="E30" i="46" s="1"/>
  <c r="F30" i="46" s="1"/>
  <c r="C29" i="46"/>
  <c r="E29" i="46" s="1"/>
  <c r="F29" i="46" s="1"/>
  <c r="C28" i="46"/>
  <c r="E28" i="46" s="1"/>
  <c r="F28" i="46" s="1"/>
  <c r="C27" i="46"/>
  <c r="E27" i="46" s="1"/>
  <c r="F27" i="46" s="1"/>
  <c r="C26" i="46"/>
  <c r="E26" i="46" s="1"/>
  <c r="F26" i="46" s="1"/>
  <c r="C25" i="46"/>
  <c r="E25" i="46" s="1"/>
  <c r="F25" i="46" s="1"/>
  <c r="C24" i="46"/>
  <c r="E24" i="46" s="1"/>
  <c r="F24" i="46" s="1"/>
  <c r="C23" i="46"/>
  <c r="E23" i="46" s="1"/>
  <c r="F23" i="46" s="1"/>
  <c r="C22" i="46"/>
  <c r="E22" i="46" s="1"/>
  <c r="F22" i="46" s="1"/>
  <c r="C21" i="46"/>
  <c r="E21" i="46" s="1"/>
  <c r="F21" i="46" s="1"/>
  <c r="C20" i="46"/>
  <c r="E20" i="46" s="1"/>
  <c r="F20" i="46" s="1"/>
  <c r="C19" i="46"/>
  <c r="E19" i="46" s="1"/>
  <c r="F19" i="46" s="1"/>
  <c r="C18" i="46"/>
  <c r="E18" i="46" s="1"/>
  <c r="F18" i="46" s="1"/>
  <c r="C17" i="46"/>
  <c r="E17" i="46" s="1"/>
  <c r="F17" i="46" s="1"/>
  <c r="C16" i="46"/>
  <c r="I31" i="45"/>
  <c r="E31" i="45"/>
  <c r="D31" i="45"/>
  <c r="I30" i="45"/>
  <c r="E30" i="45"/>
  <c r="D30" i="45"/>
  <c r="E57" i="44"/>
  <c r="D57" i="44"/>
  <c r="C57" i="44"/>
  <c r="B57" i="44"/>
  <c r="A57" i="44"/>
  <c r="E56" i="44"/>
  <c r="C56" i="44"/>
  <c r="A56" i="44"/>
  <c r="F55" i="44"/>
  <c r="E55" i="44"/>
  <c r="D55" i="44"/>
  <c r="C55" i="44"/>
  <c r="A55" i="44"/>
  <c r="E54" i="44"/>
  <c r="D54" i="44"/>
  <c r="C54" i="44"/>
  <c r="B54" i="44"/>
  <c r="A54" i="44"/>
  <c r="F53" i="44"/>
  <c r="G53" i="44" s="1"/>
  <c r="E53" i="44"/>
  <c r="D53" i="44"/>
  <c r="H53" i="44" s="1"/>
  <c r="C53" i="44"/>
  <c r="B53" i="44"/>
  <c r="A53" i="44"/>
  <c r="E52" i="44"/>
  <c r="D52" i="44"/>
  <c r="C52" i="44"/>
  <c r="B52" i="44"/>
  <c r="A52" i="44"/>
  <c r="E51" i="44"/>
  <c r="D51" i="44"/>
  <c r="A51" i="44"/>
  <c r="E50" i="44"/>
  <c r="C50" i="44"/>
  <c r="A50" i="44"/>
  <c r="F49" i="44"/>
  <c r="D49" i="44"/>
  <c r="C49" i="44"/>
  <c r="A49" i="44"/>
  <c r="F48" i="44"/>
  <c r="G48" i="44" s="1"/>
  <c r="E48" i="44"/>
  <c r="I48" i="44" s="1"/>
  <c r="D48" i="44"/>
  <c r="C48" i="44"/>
  <c r="B48" i="44"/>
  <c r="A48" i="44"/>
  <c r="E47" i="44"/>
  <c r="D47" i="44"/>
  <c r="C47" i="44"/>
  <c r="B47" i="44"/>
  <c r="A47" i="44"/>
  <c r="E46" i="44"/>
  <c r="D46" i="44"/>
  <c r="C46" i="44"/>
  <c r="B46" i="44"/>
  <c r="A46" i="44"/>
  <c r="E45" i="44"/>
  <c r="C45" i="44"/>
  <c r="B45" i="44"/>
  <c r="A45" i="44"/>
  <c r="F44" i="44"/>
  <c r="G44" i="44" s="1"/>
  <c r="E44" i="44"/>
  <c r="I44" i="44" s="1"/>
  <c r="D44" i="44"/>
  <c r="C44" i="44"/>
  <c r="B44" i="44"/>
  <c r="A44" i="44"/>
  <c r="E43" i="44"/>
  <c r="D43" i="44"/>
  <c r="C43" i="44"/>
  <c r="B43" i="44"/>
  <c r="A43" i="44"/>
  <c r="E42" i="44"/>
  <c r="D42" i="44"/>
  <c r="G42" i="44" s="1"/>
  <c r="C42" i="44"/>
  <c r="B42" i="44"/>
  <c r="A42" i="44"/>
  <c r="J32" i="44"/>
  <c r="F57" i="44" s="1"/>
  <c r="I32" i="44"/>
  <c r="F32" i="44"/>
  <c r="J31" i="44"/>
  <c r="F56" i="44" s="1"/>
  <c r="H31" i="44"/>
  <c r="D56" i="44" s="1"/>
  <c r="F31" i="44"/>
  <c r="J30" i="44"/>
  <c r="F30" i="44"/>
  <c r="J29" i="44"/>
  <c r="F54" i="44" s="1"/>
  <c r="F29" i="44"/>
  <c r="F28" i="44"/>
  <c r="J27" i="44"/>
  <c r="F52" i="44" s="1"/>
  <c r="G52" i="44" s="1"/>
  <c r="H52" i="44" s="1"/>
  <c r="F27" i="44"/>
  <c r="J26" i="44"/>
  <c r="F51" i="44" s="1"/>
  <c r="F26" i="44"/>
  <c r="J25" i="44"/>
  <c r="H25" i="44"/>
  <c r="D50" i="44" s="1"/>
  <c r="F25" i="44"/>
  <c r="J24" i="44"/>
  <c r="I24" i="44"/>
  <c r="E49" i="44" s="1"/>
  <c r="F24" i="44"/>
  <c r="J23" i="44"/>
  <c r="F23" i="44"/>
  <c r="J22" i="44"/>
  <c r="F47" i="44" s="1"/>
  <c r="G47" i="44" s="1"/>
  <c r="F22" i="44"/>
  <c r="J21" i="44"/>
  <c r="F46" i="44" s="1"/>
  <c r="F21" i="44"/>
  <c r="J20" i="44"/>
  <c r="F45" i="44" s="1"/>
  <c r="H20" i="44"/>
  <c r="D45" i="44" s="1"/>
  <c r="F20" i="44"/>
  <c r="J19" i="44"/>
  <c r="F19" i="44"/>
  <c r="J18" i="44"/>
  <c r="F43" i="44" s="1"/>
  <c r="G43" i="44" s="1"/>
  <c r="F18" i="44"/>
  <c r="J17" i="44"/>
  <c r="F42" i="44" s="1"/>
  <c r="F17" i="44"/>
  <c r="C20" i="43"/>
  <c r="E20" i="43" s="1"/>
  <c r="B20" i="43"/>
  <c r="C18" i="43"/>
  <c r="E18" i="43" s="1"/>
  <c r="B18" i="43"/>
  <c r="B22" i="43" l="1"/>
  <c r="G31" i="58"/>
  <c r="F22" i="49"/>
  <c r="F18" i="43"/>
  <c r="C35" i="46"/>
  <c r="F20" i="43"/>
  <c r="H49" i="44"/>
  <c r="I52" i="44"/>
  <c r="H45" i="44"/>
  <c r="G45" i="44"/>
  <c r="G50" i="44"/>
  <c r="I50" i="44" s="1"/>
  <c r="H50" i="44"/>
  <c r="H56" i="44"/>
  <c r="G56" i="44"/>
  <c r="I45" i="44"/>
  <c r="G46" i="44"/>
  <c r="H46" i="44" s="1"/>
  <c r="I53" i="44"/>
  <c r="I56" i="44"/>
  <c r="I42" i="44"/>
  <c r="H43" i="44"/>
  <c r="I46" i="44"/>
  <c r="H47" i="44"/>
  <c r="H54" i="44"/>
  <c r="H55" i="44"/>
  <c r="G49" i="44"/>
  <c r="I49" i="44" s="1"/>
  <c r="I43" i="44"/>
  <c r="H44" i="44"/>
  <c r="I47" i="44"/>
  <c r="H48" i="44"/>
  <c r="I51" i="44"/>
  <c r="G57" i="44"/>
  <c r="H57" i="44" s="1"/>
  <c r="H39" i="50"/>
  <c r="E16" i="46"/>
  <c r="G54" i="44"/>
  <c r="I54" i="44" s="1"/>
  <c r="G55" i="44"/>
  <c r="I55" i="44" s="1"/>
  <c r="I30" i="50"/>
  <c r="H42" i="44"/>
  <c r="G51" i="44"/>
  <c r="H51" i="44" s="1"/>
  <c r="H34" i="50"/>
  <c r="H38" i="50" s="1"/>
  <c r="C34" i="46"/>
  <c r="F24" i="52"/>
  <c r="G16" i="52"/>
  <c r="F23" i="52"/>
  <c r="D35" i="40"/>
  <c r="D34" i="40"/>
  <c r="C31" i="40"/>
  <c r="E31" i="40" s="1"/>
  <c r="F31" i="40" s="1"/>
  <c r="C30" i="40"/>
  <c r="E30" i="40" s="1"/>
  <c r="F30" i="40" s="1"/>
  <c r="C29" i="40"/>
  <c r="E29" i="40" s="1"/>
  <c r="D23" i="40"/>
  <c r="D22" i="40"/>
  <c r="C19" i="40"/>
  <c r="E19" i="40" s="1"/>
  <c r="F19" i="40" s="1"/>
  <c r="C18" i="40"/>
  <c r="E18" i="40" s="1"/>
  <c r="F18" i="40" s="1"/>
  <c r="C17" i="40"/>
  <c r="E17" i="40" s="1"/>
  <c r="F17" i="40" s="1"/>
  <c r="C16" i="40"/>
  <c r="I18" i="39"/>
  <c r="E18" i="39"/>
  <c r="D18" i="39"/>
  <c r="I17" i="39"/>
  <c r="E17" i="39"/>
  <c r="D17" i="39"/>
  <c r="C55" i="38"/>
  <c r="E54" i="38"/>
  <c r="E53" i="38"/>
  <c r="F36" i="38"/>
  <c r="E36" i="38"/>
  <c r="D36" i="38"/>
  <c r="C36" i="38"/>
  <c r="B36" i="38"/>
  <c r="A36" i="38"/>
  <c r="C56" i="38" s="1"/>
  <c r="G35" i="38"/>
  <c r="F35" i="38"/>
  <c r="E35" i="38"/>
  <c r="D35" i="38"/>
  <c r="C35" i="38"/>
  <c r="B35" i="38"/>
  <c r="A35" i="38"/>
  <c r="F34" i="38"/>
  <c r="E34" i="38"/>
  <c r="D34" i="38"/>
  <c r="C34" i="38"/>
  <c r="B34" i="38"/>
  <c r="A34" i="38"/>
  <c r="C54" i="38" s="1"/>
  <c r="G33" i="38"/>
  <c r="F33" i="38"/>
  <c r="E33" i="38"/>
  <c r="D33" i="38"/>
  <c r="C33" i="38"/>
  <c r="B33" i="38"/>
  <c r="A33" i="38"/>
  <c r="J20" i="38"/>
  <c r="G36" i="38" s="1"/>
  <c r="H20" i="38"/>
  <c r="F20" i="38"/>
  <c r="J19" i="38"/>
  <c r="F19" i="38"/>
  <c r="J18" i="38"/>
  <c r="G34" i="38" s="1"/>
  <c r="F18" i="38"/>
  <c r="J17" i="38"/>
  <c r="F17" i="38"/>
  <c r="C20" i="37"/>
  <c r="E20" i="37" s="1"/>
  <c r="B20" i="37"/>
  <c r="C18" i="37"/>
  <c r="E18" i="37" s="1"/>
  <c r="B18" i="37"/>
  <c r="F22" i="43" l="1"/>
  <c r="C23" i="40"/>
  <c r="B22" i="37"/>
  <c r="F18" i="37"/>
  <c r="F20" i="37"/>
  <c r="E35" i="40"/>
  <c r="E34" i="40"/>
  <c r="F29" i="40"/>
  <c r="H36" i="38"/>
  <c r="J36" i="38" s="1"/>
  <c r="J50" i="38" s="1"/>
  <c r="H62" i="44"/>
  <c r="H63" i="44"/>
  <c r="I36" i="38"/>
  <c r="I50" i="38" s="1"/>
  <c r="E16" i="40"/>
  <c r="C34" i="40"/>
  <c r="C35" i="40"/>
  <c r="E35" i="46"/>
  <c r="E34" i="46"/>
  <c r="F16" i="46"/>
  <c r="H33" i="38"/>
  <c r="J33" i="38" s="1"/>
  <c r="H35" i="38"/>
  <c r="J35" i="38" s="1"/>
  <c r="J49" i="38" s="1"/>
  <c r="G23" i="52"/>
  <c r="G24" i="52"/>
  <c r="I63" i="44"/>
  <c r="H34" i="38"/>
  <c r="I34" i="38" s="1"/>
  <c r="C22" i="40"/>
  <c r="I38" i="50"/>
  <c r="I39" i="50"/>
  <c r="I57" i="44"/>
  <c r="I62" i="44" s="1"/>
  <c r="D20" i="35"/>
  <c r="C20" i="35"/>
  <c r="D19" i="35"/>
  <c r="C19" i="35"/>
  <c r="E16" i="35"/>
  <c r="F16" i="35" s="1"/>
  <c r="I15" i="34"/>
  <c r="E15" i="34"/>
  <c r="D15" i="34"/>
  <c r="I14" i="34"/>
  <c r="E14" i="34"/>
  <c r="D14" i="34"/>
  <c r="F30" i="33"/>
  <c r="E30" i="33"/>
  <c r="C30" i="33"/>
  <c r="B30" i="33"/>
  <c r="A30" i="33"/>
  <c r="C47" i="33" s="1"/>
  <c r="J17" i="33"/>
  <c r="G30" i="33" s="1"/>
  <c r="H17" i="33"/>
  <c r="D30" i="33" s="1"/>
  <c r="F17" i="33"/>
  <c r="C20" i="32"/>
  <c r="E20" i="32" s="1"/>
  <c r="B20" i="32"/>
  <c r="C18" i="32"/>
  <c r="E18" i="32" s="1"/>
  <c r="B18" i="32"/>
  <c r="D20" i="31"/>
  <c r="C20" i="31"/>
  <c r="D19" i="31"/>
  <c r="C19" i="31"/>
  <c r="E16" i="31"/>
  <c r="F16" i="31" s="1"/>
  <c r="I15" i="30"/>
  <c r="E15" i="30"/>
  <c r="D15" i="30"/>
  <c r="I14" i="30"/>
  <c r="E14" i="30"/>
  <c r="D14" i="30"/>
  <c r="F30" i="29"/>
  <c r="E30" i="29"/>
  <c r="D30" i="29"/>
  <c r="C30" i="29"/>
  <c r="B30" i="29"/>
  <c r="A30" i="29"/>
  <c r="C47" i="29" s="1"/>
  <c r="J17" i="29"/>
  <c r="G30" i="29" s="1"/>
  <c r="F17" i="29"/>
  <c r="C20" i="28"/>
  <c r="E20" i="28" s="1"/>
  <c r="B20" i="28"/>
  <c r="C18" i="28"/>
  <c r="E18" i="28" s="1"/>
  <c r="B18" i="28"/>
  <c r="F20" i="28" l="1"/>
  <c r="F22" i="37"/>
  <c r="F20" i="32"/>
  <c r="B22" i="32"/>
  <c r="B22" i="28"/>
  <c r="F18" i="32"/>
  <c r="F18" i="28"/>
  <c r="F20" i="35"/>
  <c r="F19" i="35"/>
  <c r="F20" i="31"/>
  <c r="F19" i="31"/>
  <c r="J48" i="38"/>
  <c r="H30" i="29"/>
  <c r="J30" i="29" s="1"/>
  <c r="J30" i="33"/>
  <c r="H30" i="33"/>
  <c r="I30" i="33"/>
  <c r="I30" i="29"/>
  <c r="J34" i="38"/>
  <c r="J42" i="38" s="1"/>
  <c r="I35" i="38"/>
  <c r="I49" i="38" s="1"/>
  <c r="E19" i="31"/>
  <c r="E20" i="31"/>
  <c r="E19" i="35"/>
  <c r="E20" i="35"/>
  <c r="I33" i="38"/>
  <c r="F35" i="46"/>
  <c r="F34" i="46"/>
  <c r="E23" i="40"/>
  <c r="E22" i="40"/>
  <c r="F16" i="40"/>
  <c r="F34" i="40"/>
  <c r="F35" i="40"/>
  <c r="D28" i="26"/>
  <c r="D27" i="26"/>
  <c r="C24" i="26"/>
  <c r="E24" i="26" s="1"/>
  <c r="F24" i="26" s="1"/>
  <c r="C23" i="26"/>
  <c r="E23" i="26" s="1"/>
  <c r="F23" i="26" s="1"/>
  <c r="C22" i="26"/>
  <c r="E22" i="26" s="1"/>
  <c r="F22" i="26" s="1"/>
  <c r="C21" i="26"/>
  <c r="E21" i="26" s="1"/>
  <c r="F21" i="26" s="1"/>
  <c r="C20" i="26"/>
  <c r="E20" i="26" s="1"/>
  <c r="F20" i="26" s="1"/>
  <c r="C19" i="26"/>
  <c r="E19" i="26" s="1"/>
  <c r="F19" i="26" s="1"/>
  <c r="C18" i="26"/>
  <c r="E18" i="26" s="1"/>
  <c r="F18" i="26" s="1"/>
  <c r="C17" i="26"/>
  <c r="E17" i="26" s="1"/>
  <c r="F17" i="26" s="1"/>
  <c r="C16" i="26"/>
  <c r="E16" i="26" s="1"/>
  <c r="I23" i="25"/>
  <c r="E23" i="25"/>
  <c r="D23" i="25"/>
  <c r="I22" i="25"/>
  <c r="E22" i="25"/>
  <c r="D22" i="25"/>
  <c r="G65" i="24"/>
  <c r="G64" i="24"/>
  <c r="F42" i="24" s="1"/>
  <c r="G63" i="24"/>
  <c r="G62" i="24"/>
  <c r="F40" i="24" s="1"/>
  <c r="D62" i="24"/>
  <c r="G61" i="24"/>
  <c r="E61" i="24"/>
  <c r="G60" i="24"/>
  <c r="G59" i="24"/>
  <c r="E59" i="24"/>
  <c r="G58" i="24"/>
  <c r="G57" i="24"/>
  <c r="E57" i="24"/>
  <c r="G43" i="24"/>
  <c r="F43" i="24"/>
  <c r="E43" i="24"/>
  <c r="D43" i="24"/>
  <c r="C43" i="24"/>
  <c r="B43" i="24"/>
  <c r="A43" i="24"/>
  <c r="E65" i="24" s="1"/>
  <c r="E42" i="24"/>
  <c r="C42" i="24"/>
  <c r="B42" i="24"/>
  <c r="A42" i="24"/>
  <c r="E64" i="24" s="1"/>
  <c r="F41" i="24"/>
  <c r="E41" i="24"/>
  <c r="C41" i="24"/>
  <c r="B41" i="24"/>
  <c r="A41" i="24"/>
  <c r="E63" i="24" s="1"/>
  <c r="E40" i="24"/>
  <c r="C40" i="24"/>
  <c r="B40" i="24"/>
  <c r="A40" i="24"/>
  <c r="E62" i="24" s="1"/>
  <c r="G39" i="24"/>
  <c r="F39" i="24"/>
  <c r="E39" i="24"/>
  <c r="D39" i="24"/>
  <c r="C39" i="24"/>
  <c r="B39" i="24"/>
  <c r="A39" i="24"/>
  <c r="F38" i="24"/>
  <c r="E38" i="24"/>
  <c r="C38" i="24"/>
  <c r="B38" i="24"/>
  <c r="A38" i="24"/>
  <c r="E60" i="24" s="1"/>
  <c r="G37" i="24"/>
  <c r="F37" i="24"/>
  <c r="E37" i="24"/>
  <c r="D37" i="24"/>
  <c r="C37" i="24"/>
  <c r="B37" i="24"/>
  <c r="A37" i="24"/>
  <c r="F36" i="24"/>
  <c r="E36" i="24"/>
  <c r="C36" i="24"/>
  <c r="B36" i="24"/>
  <c r="A36" i="24"/>
  <c r="E58" i="24" s="1"/>
  <c r="F35" i="24"/>
  <c r="E35" i="24"/>
  <c r="C35" i="24"/>
  <c r="B35" i="24"/>
  <c r="A35" i="24"/>
  <c r="J25" i="24"/>
  <c r="F25" i="24"/>
  <c r="J24" i="24"/>
  <c r="G42" i="24" s="1"/>
  <c r="H24" i="24"/>
  <c r="D42" i="24" s="1"/>
  <c r="F24" i="24"/>
  <c r="J23" i="24"/>
  <c r="G41" i="24" s="1"/>
  <c r="H23" i="24"/>
  <c r="D41" i="24" s="1"/>
  <c r="F23" i="24"/>
  <c r="J22" i="24"/>
  <c r="G40" i="24" s="1"/>
  <c r="H22" i="24"/>
  <c r="D40" i="24" s="1"/>
  <c r="F22" i="24"/>
  <c r="J21" i="24"/>
  <c r="F21" i="24"/>
  <c r="J20" i="24"/>
  <c r="G38" i="24" s="1"/>
  <c r="H20" i="24"/>
  <c r="D38" i="24" s="1"/>
  <c r="F20" i="24"/>
  <c r="J19" i="24"/>
  <c r="F19" i="24"/>
  <c r="J18" i="24"/>
  <c r="G36" i="24" s="1"/>
  <c r="H18" i="24"/>
  <c r="D36" i="24" s="1"/>
  <c r="F18" i="24"/>
  <c r="J17" i="24"/>
  <c r="G35" i="24" s="1"/>
  <c r="H17" i="24"/>
  <c r="D35" i="24" s="1"/>
  <c r="F17" i="24"/>
  <c r="C20" i="23"/>
  <c r="E20" i="23" s="1"/>
  <c r="B20" i="23"/>
  <c r="C18" i="23"/>
  <c r="E18" i="23" s="1"/>
  <c r="B18" i="23"/>
  <c r="F22" i="28" l="1"/>
  <c r="B22" i="23"/>
  <c r="F22" i="32"/>
  <c r="F18" i="23"/>
  <c r="F20" i="23"/>
  <c r="J36" i="29"/>
  <c r="J37" i="29"/>
  <c r="I36" i="29"/>
  <c r="I37" i="29"/>
  <c r="J52" i="38"/>
  <c r="J51" i="38"/>
  <c r="I36" i="33"/>
  <c r="I37" i="33"/>
  <c r="J43" i="38"/>
  <c r="F23" i="40"/>
  <c r="F22" i="40"/>
  <c r="J36" i="33"/>
  <c r="J37" i="33"/>
  <c r="I48" i="38"/>
  <c r="I42" i="38"/>
  <c r="I43" i="38"/>
  <c r="H38" i="24"/>
  <c r="I38" i="24" s="1"/>
  <c r="H36" i="24"/>
  <c r="I36" i="24" s="1"/>
  <c r="H42" i="24"/>
  <c r="I42" i="24" s="1"/>
  <c r="F16" i="26"/>
  <c r="E28" i="26"/>
  <c r="E27" i="26"/>
  <c r="J36" i="24"/>
  <c r="J38" i="24"/>
  <c r="I43" i="24"/>
  <c r="H40" i="24"/>
  <c r="I40" i="24" s="1"/>
  <c r="H35" i="24"/>
  <c r="J35" i="24" s="1"/>
  <c r="I41" i="24"/>
  <c r="H41" i="24"/>
  <c r="J41" i="24" s="1"/>
  <c r="J39" i="24"/>
  <c r="J43" i="24"/>
  <c r="C27" i="26"/>
  <c r="C28" i="26"/>
  <c r="H37" i="24"/>
  <c r="I37" i="24" s="1"/>
  <c r="H39" i="24"/>
  <c r="I39" i="24" s="1"/>
  <c r="H43" i="24"/>
  <c r="D20" i="21"/>
  <c r="C20" i="21"/>
  <c r="D19" i="21"/>
  <c r="C19" i="21"/>
  <c r="E16" i="21"/>
  <c r="F16" i="21" s="1"/>
  <c r="I15" i="20"/>
  <c r="E15" i="20"/>
  <c r="D15" i="20"/>
  <c r="I14" i="20"/>
  <c r="E14" i="20"/>
  <c r="D14" i="20"/>
  <c r="G41" i="19"/>
  <c r="F27" i="19" s="1"/>
  <c r="E41" i="19"/>
  <c r="G27" i="19"/>
  <c r="E27" i="19"/>
  <c r="C27" i="19"/>
  <c r="B27" i="19"/>
  <c r="A27" i="19"/>
  <c r="J17" i="19"/>
  <c r="H17" i="19"/>
  <c r="D27" i="19" s="1"/>
  <c r="F17" i="19"/>
  <c r="C20" i="18"/>
  <c r="E20" i="18" s="1"/>
  <c r="B20" i="18"/>
  <c r="C18" i="18"/>
  <c r="E18" i="18" s="1"/>
  <c r="B18" i="18"/>
  <c r="D20" i="17"/>
  <c r="C20" i="17"/>
  <c r="D19" i="17"/>
  <c r="C19" i="17"/>
  <c r="F16" i="17"/>
  <c r="F20" i="17" s="1"/>
  <c r="E16" i="17"/>
  <c r="E20" i="17" s="1"/>
  <c r="I15" i="16"/>
  <c r="E15" i="16"/>
  <c r="D15" i="16"/>
  <c r="I14" i="16"/>
  <c r="E14" i="16"/>
  <c r="D14" i="16"/>
  <c r="G41" i="15"/>
  <c r="F27" i="15" s="1"/>
  <c r="E27" i="15"/>
  <c r="D27" i="15"/>
  <c r="C27" i="15"/>
  <c r="B27" i="15"/>
  <c r="A27" i="15"/>
  <c r="E41" i="15" s="1"/>
  <c r="J17" i="15"/>
  <c r="G27" i="15" s="1"/>
  <c r="F17" i="15"/>
  <c r="C20" i="14"/>
  <c r="E20" i="14" s="1"/>
  <c r="B20" i="14"/>
  <c r="C18" i="14"/>
  <c r="E18" i="14" s="1"/>
  <c r="B18" i="14"/>
  <c r="D20" i="13"/>
  <c r="C20" i="13"/>
  <c r="D19" i="13"/>
  <c r="C19" i="13"/>
  <c r="F16" i="13"/>
  <c r="F19" i="13" s="1"/>
  <c r="E16" i="13"/>
  <c r="E20" i="13" s="1"/>
  <c r="I15" i="12"/>
  <c r="E15" i="12"/>
  <c r="D15" i="12"/>
  <c r="I14" i="12"/>
  <c r="E14" i="12"/>
  <c r="D14" i="12"/>
  <c r="G41" i="11"/>
  <c r="F27" i="11" s="1"/>
  <c r="D41" i="11"/>
  <c r="E27" i="11"/>
  <c r="C27" i="11"/>
  <c r="B27" i="11"/>
  <c r="A27" i="11"/>
  <c r="E41" i="11" s="1"/>
  <c r="J17" i="11"/>
  <c r="G27" i="11" s="1"/>
  <c r="H17" i="11"/>
  <c r="D27" i="11" s="1"/>
  <c r="F17" i="11"/>
  <c r="C20" i="10"/>
  <c r="E20" i="10" s="1"/>
  <c r="B20" i="10"/>
  <c r="C18" i="10"/>
  <c r="E18" i="10" s="1"/>
  <c r="B18" i="10"/>
  <c r="D20" i="9"/>
  <c r="C20" i="9"/>
  <c r="D19" i="9"/>
  <c r="C19" i="9"/>
  <c r="E16" i="9"/>
  <c r="F16" i="9" s="1"/>
  <c r="I15" i="8"/>
  <c r="E15" i="8"/>
  <c r="D15" i="8"/>
  <c r="I14" i="8"/>
  <c r="E14" i="8"/>
  <c r="D14" i="8"/>
  <c r="G41" i="7"/>
  <c r="E41" i="7"/>
  <c r="G27" i="7"/>
  <c r="F27" i="7"/>
  <c r="E27" i="7"/>
  <c r="C27" i="7"/>
  <c r="B27" i="7"/>
  <c r="A27" i="7"/>
  <c r="J17" i="7"/>
  <c r="H17" i="7"/>
  <c r="D27" i="7" s="1"/>
  <c r="F17" i="7"/>
  <c r="C20" i="6"/>
  <c r="E20" i="6" s="1"/>
  <c r="B20" i="6"/>
  <c r="C18" i="6"/>
  <c r="E18" i="6" s="1"/>
  <c r="B18" i="6"/>
  <c r="D20" i="5"/>
  <c r="C20" i="5"/>
  <c r="D19" i="5"/>
  <c r="C19" i="5"/>
  <c r="E16" i="5"/>
  <c r="F16" i="5" s="1"/>
  <c r="I15" i="4"/>
  <c r="E15" i="4"/>
  <c r="D15" i="4"/>
  <c r="I14" i="4"/>
  <c r="E14" i="4"/>
  <c r="D14" i="4"/>
  <c r="G40" i="3"/>
  <c r="F26" i="3" s="1"/>
  <c r="E40" i="3"/>
  <c r="G26" i="3"/>
  <c r="E26" i="3"/>
  <c r="D26" i="3"/>
  <c r="H26" i="3" s="1"/>
  <c r="C26" i="3"/>
  <c r="B26" i="3"/>
  <c r="A26" i="3"/>
  <c r="J17" i="3"/>
  <c r="F17" i="3"/>
  <c r="C20" i="2"/>
  <c r="E20" i="2" s="1"/>
  <c r="B20" i="2"/>
  <c r="C18" i="2"/>
  <c r="E18" i="2" s="1"/>
  <c r="B18" i="2"/>
  <c r="F20" i="2" l="1"/>
  <c r="B22" i="10"/>
  <c r="F20" i="14"/>
  <c r="F20" i="18"/>
  <c r="B22" i="14"/>
  <c r="B22" i="18"/>
  <c r="F18" i="6"/>
  <c r="F20" i="6"/>
  <c r="F22" i="6" s="1"/>
  <c r="F18" i="2"/>
  <c r="F22" i="2" s="1"/>
  <c r="B22" i="6"/>
  <c r="B22" i="2"/>
  <c r="F18" i="14"/>
  <c r="F22" i="14" s="1"/>
  <c r="F18" i="18"/>
  <c r="F18" i="10"/>
  <c r="F22" i="23"/>
  <c r="I52" i="38"/>
  <c r="I51" i="38"/>
  <c r="J27" i="11"/>
  <c r="F19" i="21"/>
  <c r="F20" i="21"/>
  <c r="F20" i="10"/>
  <c r="H27" i="15"/>
  <c r="I27" i="19"/>
  <c r="H27" i="19"/>
  <c r="J27" i="19" s="1"/>
  <c r="J26" i="3"/>
  <c r="J27" i="15"/>
  <c r="H27" i="11"/>
  <c r="I27" i="11"/>
  <c r="F19" i="5"/>
  <c r="F20" i="5"/>
  <c r="H27" i="7"/>
  <c r="J27" i="7" s="1"/>
  <c r="F20" i="9"/>
  <c r="F19" i="9"/>
  <c r="J46" i="24"/>
  <c r="E19" i="5"/>
  <c r="E19" i="9"/>
  <c r="E20" i="9"/>
  <c r="I35" i="24"/>
  <c r="I26" i="3"/>
  <c r="J40" i="24"/>
  <c r="J42" i="24"/>
  <c r="E20" i="5"/>
  <c r="F20" i="13"/>
  <c r="I27" i="15"/>
  <c r="J37" i="24"/>
  <c r="J47" i="24" s="1"/>
  <c r="E19" i="13"/>
  <c r="E19" i="17"/>
  <c r="F19" i="17"/>
  <c r="E19" i="21"/>
  <c r="E20" i="21"/>
  <c r="F28" i="26"/>
  <c r="F27" i="26"/>
  <c r="F22" i="18" l="1"/>
  <c r="F22" i="10"/>
  <c r="J30" i="19"/>
  <c r="J31" i="19"/>
  <c r="J31" i="7"/>
  <c r="J30" i="7"/>
  <c r="I30" i="3"/>
  <c r="I29" i="3"/>
  <c r="J31" i="15"/>
  <c r="J30" i="15"/>
  <c r="I47" i="24"/>
  <c r="I46" i="24"/>
  <c r="J29" i="3"/>
  <c r="J30" i="3"/>
  <c r="J30" i="11"/>
  <c r="J31" i="11"/>
  <c r="I27" i="7"/>
  <c r="I30" i="19"/>
  <c r="I31" i="19"/>
  <c r="I31" i="11"/>
  <c r="I30" i="11"/>
  <c r="I30" i="15"/>
  <c r="I31" i="15"/>
  <c r="I31" i="7" l="1"/>
  <c r="I3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rev3857</author>
    <author>K Reaves</author>
  </authors>
  <commentList>
    <comment ref="H17" authorId="0" shapeId="0" xr:uid="{94C1D6A2-DB5C-4C77-92CE-B4F61FE30F5B}">
      <text>
        <r>
          <rPr>
            <sz val="9"/>
            <color indexed="81"/>
            <rFont val="Tahoma"/>
            <family val="2"/>
          </rPr>
          <t>Page 57 of PDF, 10-K</t>
        </r>
      </text>
    </comment>
    <comment ref="J17" authorId="1" shapeId="0" xr:uid="{89D7F155-9A9F-4165-A480-224DCA3156FF}">
      <text>
        <r>
          <rPr>
            <sz val="9"/>
            <color indexed="81"/>
            <rFont val="Tahoma"/>
            <family val="2"/>
          </rPr>
          <t>Page 57 of PDF, 10-K</t>
        </r>
      </text>
    </comment>
    <comment ref="G26" authorId="2" shapeId="0" xr:uid="{058B2D15-675C-4362-A586-85AC62445AB8}">
      <text>
        <r>
          <rPr>
            <b/>
            <sz val="9"/>
            <color indexed="81"/>
            <rFont val="Tahoma"/>
            <family val="2"/>
          </rPr>
          <t>Page 75 10-K</t>
        </r>
      </text>
    </comment>
    <comment ref="F40" authorId="3" shapeId="0" xr:uid="{7709B588-2C20-4D2D-A429-FD00883AD5BC}">
      <text>
        <r>
          <rPr>
            <sz val="9"/>
            <color indexed="81"/>
            <rFont val="Tahoma"/>
            <family val="2"/>
          </rPr>
          <t>Page 56 of PDF, 10-K</t>
        </r>
      </text>
    </comment>
    <comment ref="G40" authorId="3" shapeId="0" xr:uid="{921B437C-5D29-4F2E-849D-A47FB2C27547}">
      <text>
        <r>
          <rPr>
            <sz val="9"/>
            <color indexed="81"/>
            <rFont val="Tahoma"/>
            <family val="2"/>
          </rPr>
          <t>Page 57 of PDF, 10-K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72D00E7E-AACE-48B4-80D2-D8813F6DD157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J17" authorId="0" shapeId="0" xr:uid="{3EC30A6F-1E67-454A-B688-812BF5514AEA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G27" authorId="1" shapeId="0" xr:uid="{38C11B67-F130-4F1D-9A36-A02C3C65D80D}">
      <text>
        <r>
          <rPr>
            <b/>
            <sz val="9"/>
            <color indexed="81"/>
            <rFont val="Tahoma"/>
            <family val="2"/>
          </rPr>
          <t>rev3857:</t>
        </r>
        <r>
          <rPr>
            <sz val="9"/>
            <color indexed="81"/>
            <rFont val="Tahoma"/>
            <family val="2"/>
          </rPr>
          <t xml:space="preserve">
Page 102 10K
</t>
        </r>
      </text>
    </comment>
    <comment ref="F41" authorId="2" shapeId="0" xr:uid="{9316A593-A61F-46FD-84E3-AEEBE53C96AE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G41" authorId="2" shapeId="0" xr:uid="{F8742F52-AA30-41ED-B50B-00C71450C539}">
      <text>
        <r>
          <rPr>
            <sz val="9"/>
            <color indexed="81"/>
            <rFont val="Tahoma"/>
            <family val="2"/>
          </rPr>
          <t>Page 81 of PDF, 10-K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E11" authorId="0" shapeId="0" xr:uid="{346FF38A-3B90-4A66-945B-3608222D4651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
</t>
        </r>
      </text>
    </comment>
    <comment ref="H11" authorId="0" shapeId="0" xr:uid="{647AA985-E8CB-4568-8F3E-39D9B38ACBF3}">
      <text>
        <r>
          <rPr>
            <sz val="9"/>
            <color indexed="81"/>
            <rFont val="Tahoma"/>
            <family val="2"/>
          </rPr>
          <t>Pulled from Utah study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rev3857</author>
    <author>K Reaves</author>
  </authors>
  <commentList>
    <comment ref="H17" authorId="0" shapeId="0" xr:uid="{278E1675-6BC7-4EE2-9E55-4CFEC838A3DF}">
      <text>
        <r>
          <rPr>
            <sz val="9"/>
            <color indexed="81"/>
            <rFont val="Tahoma"/>
            <family val="2"/>
          </rPr>
          <t>Page 53 of PDF, 10-K</t>
        </r>
      </text>
    </comment>
    <comment ref="J17" authorId="0" shapeId="0" xr:uid="{A07C73EB-61E4-41A7-BBBC-331E4ED2E33D}">
      <text>
        <r>
          <rPr>
            <sz val="9"/>
            <color indexed="81"/>
            <rFont val="Tahoma"/>
            <family val="2"/>
          </rPr>
          <t>Page 87 of PDF, 10-K</t>
        </r>
      </text>
    </comment>
    <comment ref="H18" authorId="0" shapeId="0" xr:uid="{7B9F3C65-1478-4DF9-987F-173660D89261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J18" authorId="0" shapeId="0" xr:uid="{5B704C7A-339D-4F94-B244-14C9E0AB82E2}">
      <text>
        <r>
          <rPr>
            <sz val="9"/>
            <color indexed="81"/>
            <rFont val="Tahoma"/>
            <family val="2"/>
          </rPr>
          <t>Page 55of PDF, 10-K</t>
        </r>
      </text>
    </comment>
    <comment ref="H19" authorId="0" shapeId="0" xr:uid="{7EB277B2-85D5-4206-A225-050DA42C3FA0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J19" authorId="0" shapeId="0" xr:uid="{E70A456D-D186-4A40-A6F5-117C6F03DBCB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H20" authorId="0" shapeId="0" xr:uid="{DDAB3EC9-91AB-4CA6-9BD6-BCDA6739852F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J20" authorId="0" shapeId="0" xr:uid="{85271D09-8D7E-494A-89AB-BACC96CE5C36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H21" authorId="0" shapeId="0" xr:uid="{322438D9-2BAB-4BE8-A629-DFF069630631}">
      <text>
        <r>
          <rPr>
            <sz val="9"/>
            <color indexed="81"/>
            <rFont val="Tahoma"/>
            <family val="2"/>
          </rPr>
          <t>Page 67 of PDF, 10-K</t>
        </r>
      </text>
    </comment>
    <comment ref="J21" authorId="0" shapeId="0" xr:uid="{465DD772-5511-452B-BCC2-48EE39EFA029}">
      <text>
        <r>
          <rPr>
            <sz val="9"/>
            <color indexed="81"/>
            <rFont val="Tahoma"/>
            <family val="2"/>
          </rPr>
          <t>Page 67 of PDF, 10-K</t>
        </r>
      </text>
    </comment>
    <comment ref="H22" authorId="0" shapeId="0" xr:uid="{8CCA7F80-F01F-4894-BED5-3C75E43873AE}">
      <text>
        <r>
          <rPr>
            <sz val="9"/>
            <color indexed="81"/>
            <rFont val="Tahoma"/>
            <family val="2"/>
          </rPr>
          <t>Page 47 of PDF, 10-K</t>
        </r>
      </text>
    </comment>
    <comment ref="J22" authorId="0" shapeId="0" xr:uid="{78212D00-FD47-4924-A2B2-B60C93907800}">
      <text>
        <r>
          <rPr>
            <sz val="9"/>
            <color indexed="81"/>
            <rFont val="Tahoma"/>
            <family val="2"/>
          </rPr>
          <t>Page 47 of PDF, 10-K</t>
        </r>
      </text>
    </comment>
    <comment ref="H23" authorId="0" shapeId="0" xr:uid="{D03F585D-60D5-4032-B4A8-2C7933A97E2A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J23" authorId="0" shapeId="0" xr:uid="{0A33C090-C9A0-4720-BBD8-FCB413E79B42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H24" authorId="0" shapeId="0" xr:uid="{B3947E2C-479E-4247-AC4A-580D5ED3A014}">
      <text>
        <r>
          <rPr>
            <sz val="9"/>
            <color indexed="81"/>
            <rFont val="Tahoma"/>
            <family val="2"/>
          </rPr>
          <t>Page 76 of PDF, 10-K</t>
        </r>
      </text>
    </comment>
    <comment ref="J24" authorId="0" shapeId="0" xr:uid="{A6296E1B-92D9-4A4C-9B6B-A0938CD4B206}">
      <text>
        <r>
          <rPr>
            <sz val="9"/>
            <color indexed="81"/>
            <rFont val="Tahoma"/>
            <family val="2"/>
          </rPr>
          <t>Page 76 of PDF, 10-K</t>
        </r>
      </text>
    </comment>
    <comment ref="H25" authorId="0" shapeId="0" xr:uid="{E96AB87B-A793-4D9B-8384-B53A45DD3E61}">
      <text>
        <r>
          <rPr>
            <sz val="9"/>
            <color indexed="81"/>
            <rFont val="Tahoma"/>
            <family val="2"/>
          </rPr>
          <t>Page 57 of PDF, 10-K</t>
        </r>
      </text>
    </comment>
    <comment ref="J25" authorId="1" shapeId="0" xr:uid="{689294B6-A1A0-43D4-B468-00B84C7DC5BE}">
      <text>
        <r>
          <rPr>
            <sz val="9"/>
            <color indexed="81"/>
            <rFont val="Tahoma"/>
            <family val="2"/>
          </rPr>
          <t>Page 57 of PDF, 10-K</t>
        </r>
      </text>
    </comment>
    <comment ref="G35" authorId="2" shapeId="0" xr:uid="{5BE15118-0E4D-49A7-9297-7A2D4A9114A8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G36" authorId="2" shapeId="0" xr:uid="{0FC51E91-1AC0-4A98-9711-9F6820496F94}">
      <text>
        <r>
          <rPr>
            <sz val="9"/>
            <color indexed="81"/>
            <rFont val="Tahoma"/>
            <family val="2"/>
          </rPr>
          <t>Page 78  of  10K</t>
        </r>
      </text>
    </comment>
    <comment ref="G37" authorId="2" shapeId="0" xr:uid="{643E455B-A064-417E-B839-E6313F8A13DB}">
      <text>
        <r>
          <rPr>
            <sz val="9"/>
            <color indexed="81"/>
            <rFont val="Tahoma"/>
            <family val="2"/>
          </rPr>
          <t>Page 135 of PDF, 10-K</t>
        </r>
      </text>
    </comment>
    <comment ref="G38" authorId="2" shapeId="0" xr:uid="{0A1D5274-B01A-4811-A0C2-192F7A964E9E}">
      <text>
        <r>
          <rPr>
            <sz val="9"/>
            <color indexed="81"/>
            <rFont val="Tahoma"/>
            <family val="2"/>
          </rPr>
          <t>Page 90 of PDF, 10-K</t>
        </r>
      </text>
    </comment>
    <comment ref="G39" authorId="2" shapeId="0" xr:uid="{801CAF67-9D0B-407E-B6FB-4D1B1F848701}">
      <text>
        <r>
          <rPr>
            <sz val="9"/>
            <color indexed="81"/>
            <rFont val="Tahoma"/>
            <family val="2"/>
          </rPr>
          <t>Page 84 of PDF, 10-K</t>
        </r>
      </text>
    </comment>
    <comment ref="G40" authorId="2" shapeId="0" xr:uid="{C93B87FC-8938-4EC3-BDD9-B2214DE03AE2}">
      <text>
        <r>
          <rPr>
            <sz val="9"/>
            <color indexed="81"/>
            <rFont val="Tahoma"/>
            <family val="2"/>
          </rPr>
          <t>Page 60 of PDF, 10-K</t>
        </r>
      </text>
    </comment>
    <comment ref="G41" authorId="2" shapeId="0" xr:uid="{137B054F-A621-4DEF-B0A8-60DE41A0A977}">
      <text>
        <r>
          <rPr>
            <sz val="9"/>
            <color indexed="81"/>
            <rFont val="Tahoma"/>
            <family val="2"/>
          </rPr>
          <t xml:space="preserve">Page 123 of PDF, 10-K
</t>
        </r>
      </text>
    </comment>
    <comment ref="G42" authorId="2" shapeId="0" xr:uid="{6CE16E25-DBBD-4F02-B4CA-B7DCC5EB833B}">
      <text>
        <r>
          <rPr>
            <sz val="9"/>
            <color indexed="81"/>
            <rFont val="Tahoma"/>
            <family val="2"/>
          </rPr>
          <t>Page 111 of PDF, 10-K</t>
        </r>
      </text>
    </comment>
    <comment ref="G43" authorId="2" shapeId="0" xr:uid="{6F2C7DC6-6729-4E9B-82D9-A189779DF4DA}">
      <text>
        <r>
          <rPr>
            <sz val="9"/>
            <color indexed="81"/>
            <rFont val="Tahoma"/>
            <family val="2"/>
          </rPr>
          <t>Page 85 of PDF, 10-K</t>
        </r>
      </text>
    </comment>
    <comment ref="D57" authorId="3" shapeId="0" xr:uid="{EDBA39E2-3CB5-4D2C-AAE5-EC2CE1FB27D5}">
      <text>
        <r>
          <rPr>
            <sz val="9"/>
            <color indexed="81"/>
            <rFont val="Tahoma"/>
            <family val="2"/>
          </rPr>
          <t>Page 73 of PDF, 10-K</t>
        </r>
      </text>
    </comment>
    <comment ref="F57" authorId="3" shapeId="0" xr:uid="{6E315B6E-FF64-4825-9D08-158ABA99A5A6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52 of PDF, 10-K</t>
        </r>
      </text>
    </comment>
    <comment ref="G57" authorId="3" shapeId="0" xr:uid="{167AB458-1946-406D-819C-0BC77546F7EA}">
      <text>
        <r>
          <rPr>
            <sz val="9"/>
            <color indexed="81"/>
            <rFont val="Tahoma"/>
            <family val="2"/>
          </rPr>
          <t>Page 53 of PDF, 10-K</t>
        </r>
      </text>
    </comment>
    <comment ref="D58" authorId="3" shapeId="0" xr:uid="{FEF72D09-64ED-4929-BE03-FABDFC092784}">
      <text>
        <r>
          <rPr>
            <sz val="9"/>
            <color indexed="81"/>
            <rFont val="Tahoma"/>
            <family val="2"/>
          </rPr>
          <t>Page 74, 10-K</t>
        </r>
      </text>
    </comment>
    <comment ref="F58" authorId="3" shapeId="0" xr:uid="{46F51B0D-C0A9-4A0E-9AC8-10DCC5DF74C6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G58" authorId="3" shapeId="0" xr:uid="{16DA551A-8082-4562-8D77-E779F34EC688}">
      <text>
        <r>
          <rPr>
            <sz val="9"/>
            <color indexed="81"/>
            <rFont val="Tahoma"/>
            <family val="2"/>
          </rPr>
          <t>Page 55, 10-K</t>
        </r>
      </text>
    </comment>
    <comment ref="D59" authorId="3" shapeId="0" xr:uid="{16352E0A-A8F3-45E4-B769-74D837DFC4C7}">
      <text>
        <r>
          <rPr>
            <sz val="9"/>
            <color indexed="81"/>
            <rFont val="Tahoma"/>
            <family val="2"/>
          </rPr>
          <t>Page 129, 10-K</t>
        </r>
      </text>
    </comment>
    <comment ref="F59" authorId="3" shapeId="0" xr:uid="{018C736F-6F2B-45FB-9820-6F32DE3D8207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G59" authorId="3" shapeId="0" xr:uid="{303C255A-B9A1-4FE4-ACCE-535A009959AF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F60" authorId="3" shapeId="0" xr:uid="{92CB27CB-2A03-4512-A78B-363B07D6080F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G60" authorId="3" shapeId="0" xr:uid="{F24497CC-A14B-4549-95FE-8C521F811598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F61" authorId="3" shapeId="0" xr:uid="{1BE48579-D457-42E8-8D1F-CD5957EA685E}">
      <text>
        <r>
          <rPr>
            <sz val="9"/>
            <color indexed="81"/>
            <rFont val="Tahoma"/>
            <family val="2"/>
          </rPr>
          <t>Page 66 of PDF, 10-K</t>
        </r>
      </text>
    </comment>
    <comment ref="G61" authorId="3" shapeId="0" xr:uid="{C2288AAE-CF48-4CB2-89F8-D0A230CFAA28}">
      <text>
        <r>
          <rPr>
            <sz val="9"/>
            <color indexed="81"/>
            <rFont val="Tahoma"/>
            <family val="2"/>
          </rPr>
          <t>Page 67 of PDF, 10-K</t>
        </r>
      </text>
    </comment>
    <comment ref="D62" authorId="3" shapeId="0" xr:uid="{D82C865C-7EE0-4999-9C4C-D2FEBE9A7EC2}">
      <text>
        <r>
          <rPr>
            <sz val="9"/>
            <color indexed="81"/>
            <rFont val="Tahoma"/>
            <family val="2"/>
          </rPr>
          <t>Page 67 of PDF, 10-K</t>
        </r>
      </text>
    </comment>
    <comment ref="F62" authorId="3" shapeId="0" xr:uid="{B3A3D38C-2C5C-4657-BC29-0F98CAC9AAA9}">
      <text>
        <r>
          <rPr>
            <sz val="9"/>
            <color indexed="81"/>
            <rFont val="Tahoma"/>
            <family val="2"/>
          </rPr>
          <t>Page 46 of PDF, 10-K</t>
        </r>
      </text>
    </comment>
    <comment ref="G62" authorId="3" shapeId="0" xr:uid="{D152BC46-9194-4C26-A3F2-27EA9906A71E}">
      <text>
        <r>
          <rPr>
            <sz val="9"/>
            <color indexed="81"/>
            <rFont val="Tahoma"/>
            <family val="2"/>
          </rPr>
          <t>Page 47 of PDF, 10-K</t>
        </r>
      </text>
    </comment>
    <comment ref="F63" authorId="3" shapeId="0" xr:uid="{35B5A6FD-A2CD-43E6-A0DE-9C1608CDB15F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G63" authorId="3" shapeId="0" xr:uid="{3DD18300-892E-41CB-A687-2FD727EA5C72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D64" authorId="3" shapeId="0" xr:uid="{0B97B5CD-1B58-4FBB-A242-A842E919B396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F64" authorId="3" shapeId="0" xr:uid="{A2EBB00F-1187-4C42-9720-5E74A22A7C2F}">
      <text>
        <r>
          <rPr>
            <sz val="9"/>
            <color indexed="81"/>
            <rFont val="Tahoma"/>
            <family val="2"/>
          </rPr>
          <t>Page 76 of PDF, 10-K</t>
        </r>
      </text>
    </comment>
    <comment ref="G64" authorId="3" shapeId="0" xr:uid="{EF881DC7-7917-44CB-BFA2-9287D3715D2F}">
      <text>
        <r>
          <rPr>
            <sz val="9"/>
            <color indexed="81"/>
            <rFont val="Tahoma"/>
            <family val="2"/>
          </rPr>
          <t>Page 76 of PDF, 10-K</t>
        </r>
      </text>
    </comment>
    <comment ref="F65" authorId="3" shapeId="0" xr:uid="{96E7CDEC-EFEC-47CF-95E8-54D63860910F}">
      <text>
        <r>
          <rPr>
            <sz val="9"/>
            <color indexed="81"/>
            <rFont val="Tahoma"/>
            <family val="2"/>
          </rPr>
          <t>Page 56 of PDF, 10-K</t>
        </r>
      </text>
    </comment>
    <comment ref="G65" authorId="3" shapeId="0" xr:uid="{FD505347-1FE7-4A12-846C-FBD6ED0CF4A4}">
      <text>
        <r>
          <rPr>
            <sz val="9"/>
            <color indexed="81"/>
            <rFont val="Tahoma"/>
            <family val="2"/>
          </rPr>
          <t>Page 57 of PDF, 10-K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55E6F29A-3A48-41AD-8C89-02C5C53EBBC3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2021</t>
        </r>
      </text>
    </comment>
    <comment ref="G11" authorId="1" shapeId="0" xr:uid="{563880A9-3A49-458F-BE45-EED3943342A2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Oregon &amp; Washington study
</t>
        </r>
      </text>
    </comment>
    <comment ref="H11" authorId="0" shapeId="0" xr:uid="{A66B294F-C6A9-47B8-89C0-0C3CE338BD3F}">
      <text>
        <r>
          <rPr>
            <sz val="9"/>
            <color indexed="81"/>
            <rFont val="Tahoma"/>
            <family val="2"/>
          </rPr>
          <t>Pulled from Utah State Cap Rate</t>
        </r>
      </text>
    </comment>
    <comment ref="G12" authorId="1" shapeId="0" xr:uid="{7B03CD0F-A80B-417F-A14C-A1589D5B69DD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</t>
        </r>
      </text>
    </comment>
    <comment ref="H12" authorId="0" shapeId="0" xr:uid="{6BB8F332-0827-40F4-B51F-6701D1E46C71}">
      <text>
        <r>
          <rPr>
            <sz val="9"/>
            <color indexed="81"/>
            <rFont val="Tahoma"/>
            <family val="2"/>
          </rPr>
          <t>Pulled from Utah study and Oregon study
B1 from Washington study</t>
        </r>
      </text>
    </comment>
    <comment ref="E13" authorId="0" shapeId="0" xr:uid="{6478532F-4C9A-4E99-861D-2720C9400088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2021 on VL</t>
        </r>
      </text>
    </comment>
    <comment ref="G13" authorId="1" shapeId="0" xr:uid="{97DEDD89-7DB0-4A0B-AE86-D7794FEAB4A5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
Fitch rating was B-</t>
        </r>
      </text>
    </comment>
    <comment ref="H13" authorId="0" shapeId="0" xr:uid="{B3289146-2B88-45FF-8E04-E1FB41217CE3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91 (PDF) -Not found
Check internet Moody's site
B2 from Oregon / montana &amp; Colorado 
B3 from Washington</t>
        </r>
      </text>
    </comment>
    <comment ref="E14" authorId="0" shapeId="0" xr:uid="{DDF511D8-EF79-406C-BDB7-841A646DB337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
</t>
        </r>
      </text>
    </comment>
    <comment ref="G14" authorId="1" shapeId="0" xr:uid="{F96CFC46-2E22-4264-8395-772908806639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
</t>
        </r>
      </text>
    </comment>
    <comment ref="H14" authorId="0" shapeId="0" xr:uid="{DEA293BD-698A-4A8A-A0F7-D0A15F59A9B2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97 (PDF)</t>
        </r>
      </text>
    </comment>
    <comment ref="E15" authorId="0" shapeId="0" xr:uid="{132E6ABC-A28A-45FD-BF89-650898EF0D2C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</t>
        </r>
      </text>
    </comment>
    <comment ref="G15" authorId="1" shapeId="0" xr:uid="{0B6F473A-2633-4148-B305-E50DAFF451F4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</t>
        </r>
      </text>
    </comment>
    <comment ref="H15" authorId="0" shapeId="0" xr:uid="{05AD7EA6-E68A-45A5-B469-E52B21215826}">
      <text>
        <r>
          <rPr>
            <sz val="9"/>
            <color indexed="81"/>
            <rFont val="Tahoma"/>
            <family val="2"/>
          </rPr>
          <t>Pulled from Utah study
and Oregon study
B1 from Washington study</t>
        </r>
      </text>
    </comment>
    <comment ref="H16" authorId="0" shapeId="0" xr:uid="{622FBCFC-9616-45C8-A072-4AE5B0712B02}">
      <text>
        <r>
          <rPr>
            <sz val="9"/>
            <color indexed="81"/>
            <rFont val="Tahoma"/>
            <family val="2"/>
          </rPr>
          <t>Pulled from Colorado Study
Ba2 from Montana study</t>
        </r>
      </text>
    </comment>
    <comment ref="E17" authorId="0" shapeId="0" xr:uid="{AC70B630-651B-4C44-820B-964DFF228EDB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
</t>
        </r>
      </text>
    </comment>
    <comment ref="G17" authorId="1" shapeId="0" xr:uid="{72B9A8B1-7CD6-46F0-B926-9D3538180744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</t>
        </r>
      </text>
    </comment>
    <comment ref="H17" authorId="0" shapeId="0" xr:uid="{102ABA6B-AB86-4AAB-BD1A-0256DB0DC9F7}">
      <text>
        <r>
          <rPr>
            <sz val="9"/>
            <color indexed="81"/>
            <rFont val="Tahoma"/>
            <family val="2"/>
          </rPr>
          <t>Pulled from Utah study and Oregon study</t>
        </r>
      </text>
    </comment>
    <comment ref="E18" authorId="0" shapeId="0" xr:uid="{481FF336-166C-4DB4-BE7A-2C638810B091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</t>
        </r>
      </text>
    </comment>
    <comment ref="G18" authorId="1" shapeId="0" xr:uid="{D07057E8-0B64-4D92-A5C0-3730DFE188A4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</t>
        </r>
      </text>
    </comment>
    <comment ref="H18" authorId="0" shapeId="0" xr:uid="{ED2C6471-576E-425D-929B-B9F2D8F796CF}">
      <text>
        <r>
          <rPr>
            <sz val="9"/>
            <color indexed="81"/>
            <rFont val="Tahoma"/>
            <family val="2"/>
          </rPr>
          <t xml:space="preserve">Pulled from Utah and Oregon State Cap Rate
B2 from Washington study
</t>
        </r>
      </text>
    </comment>
    <comment ref="E19" authorId="0" shapeId="0" xr:uid="{685C0637-CB98-4A95-9E58-2D109EDC9B92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</t>
        </r>
      </text>
    </comment>
    <comment ref="G19" authorId="1" shapeId="0" xr:uid="{406B8A46-D5A6-42E1-BA83-80E5D30199F1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</t>
        </r>
      </text>
    </comment>
    <comment ref="H19" authorId="0" shapeId="0" xr:uid="{716FBBA4-AB54-4006-BB9E-1B349396DC7F}">
      <text>
        <r>
          <rPr>
            <sz val="9"/>
            <color indexed="81"/>
            <rFont val="Tahoma"/>
            <family val="2"/>
          </rPr>
          <t>Page 42 of 2021 10K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rev3569</author>
  </authors>
  <commentList>
    <comment ref="D11" authorId="0" shapeId="0" xr:uid="{50E77874-7EC1-4A9C-BC95-6FE2F7F2F1C7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Cash Flow per Share Values are 2023 Project from Valueline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REVT221</author>
  </authors>
  <commentList>
    <comment ref="H17" authorId="0" shapeId="0" xr:uid="{EB47E0F8-04E7-4760-B80E-A38318068591}">
      <text>
        <r>
          <rPr>
            <sz val="9"/>
            <color indexed="81"/>
            <rFont val="Tahoma"/>
            <family val="2"/>
          </rPr>
          <t>Page 1 of PDF, 10-Q  As of Dec 14, 2021</t>
        </r>
      </text>
    </comment>
    <comment ref="J17" authorId="1" shapeId="0" xr:uid="{AED0679A-B720-49F6-831E-B56373CCC3CF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D30" authorId="1" shapeId="0" xr:uid="{AA5E6EC0-5549-46AA-8106-52342EE97487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Subtract Treasury book value</t>
        </r>
      </text>
    </comment>
    <comment ref="G30" authorId="1" shapeId="0" xr:uid="{B833350A-A247-4383-A381-FDCD063375E1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10Q  page 14
</t>
        </r>
      </text>
    </comment>
    <comment ref="B47" authorId="0" shapeId="0" xr:uid="{238FB807-D14C-4710-A2EE-25FE80521A7B}">
      <text>
        <r>
          <rPr>
            <sz val="9"/>
            <color indexed="81"/>
            <rFont val="Tahoma"/>
            <family val="2"/>
          </rPr>
          <t>Page 4 10-Q</t>
        </r>
      </text>
    </comment>
    <comment ref="D47" authorId="0" shapeId="0" xr:uid="{24EE2E1D-2E32-4EF6-A188-34E107806066}">
      <text>
        <r>
          <rPr>
            <sz val="9"/>
            <color indexed="81"/>
            <rFont val="Tahoma"/>
            <family val="2"/>
          </rPr>
          <t>Page 3 of PDF, 10-Q</t>
        </r>
      </text>
    </comment>
    <comment ref="E47" authorId="0" shapeId="0" xr:uid="{CAA4894F-DD1F-4821-BFD1-05BD8F775937}">
      <text>
        <r>
          <rPr>
            <sz val="9"/>
            <color indexed="81"/>
            <rFont val="Tahoma"/>
            <family val="2"/>
          </rPr>
          <t>Page 18 of PDF, 10-Q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G11" authorId="0" shapeId="0" xr:uid="{1C915031-C41F-4BD2-A4FF-9B89DFCB7884}">
      <text>
        <r>
          <rPr>
            <sz val="9"/>
            <color indexed="81"/>
            <rFont val="Tahoma"/>
            <family val="2"/>
          </rPr>
          <t>Page 41 of 10-Q</t>
        </r>
      </text>
    </comment>
    <comment ref="H11" authorId="0" shapeId="0" xr:uid="{FF9A3225-C426-434F-B815-239F6627E40C}">
      <text>
        <r>
          <rPr>
            <sz val="9"/>
            <color indexed="81"/>
            <rFont val="Tahoma"/>
            <family val="2"/>
          </rPr>
          <t>Page 41 of 10-Q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K Reaves</author>
  </authors>
  <commentList>
    <comment ref="H17" authorId="0" shapeId="0" xr:uid="{43EC4B32-957C-41C2-B231-C2ECDCD50E38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J17" authorId="0" shapeId="0" xr:uid="{97D38E07-E1CD-4A44-822F-88C0D80F1A80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G30" authorId="1" shapeId="0" xr:uid="{07C4CA31-A662-43BE-A0D9-821A585BAFAD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10K page 98</t>
        </r>
      </text>
    </comment>
    <comment ref="D47" authorId="2" shapeId="0" xr:uid="{CE2D164D-CD3A-4693-990B-D95A7CBA238F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E47" authorId="2" shapeId="0" xr:uid="{B39071A7-4CEB-4EC8-9ECD-87DE004527A0}">
      <text>
        <r>
          <rPr>
            <sz val="9"/>
            <color indexed="81"/>
            <rFont val="Tahoma"/>
            <family val="2"/>
          </rPr>
          <t>Page 104 of PDF, 10-K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rev4440</author>
    <author>REVT221</author>
  </authors>
  <commentList>
    <comment ref="H17" authorId="0" shapeId="0" xr:uid="{FD59337D-A97E-4B04-9E62-E542479D6760}">
      <text>
        <r>
          <rPr>
            <sz val="9"/>
            <color indexed="81"/>
            <rFont val="Tahoma"/>
            <family val="2"/>
          </rPr>
          <t>Page 51 of PDF, 10-K</t>
        </r>
      </text>
    </comment>
    <comment ref="J17" authorId="0" shapeId="0" xr:uid="{FD2629B4-8035-4336-B809-A57FC5D69844}">
      <text>
        <r>
          <rPr>
            <sz val="9"/>
            <color indexed="81"/>
            <rFont val="Tahoma"/>
            <family val="2"/>
          </rPr>
          <t>Page 51 of PDF, 10-K</t>
        </r>
      </text>
    </comment>
    <comment ref="H18" authorId="1" shapeId="0" xr:uid="{6FA43201-BF68-4B24-BB28-C47DC7899338}">
      <text>
        <r>
          <rPr>
            <sz val="9"/>
            <color indexed="81"/>
            <rFont val="Tahoma"/>
            <family val="2"/>
          </rPr>
          <t>Page 59 of PDF, 10-K</t>
        </r>
      </text>
    </comment>
    <comment ref="J18" authorId="1" shapeId="0" xr:uid="{0057D334-E87B-444C-A711-CCA476CDBBFE}">
      <text>
        <r>
          <rPr>
            <sz val="9"/>
            <color indexed="81"/>
            <rFont val="Tahoma"/>
            <family val="2"/>
          </rPr>
          <t>Page 59 of PDF, 10-K</t>
        </r>
      </text>
    </comment>
    <comment ref="H19" authorId="0" shapeId="0" xr:uid="{CA585528-3384-43D2-BC97-5C9D934B9787}">
      <text>
        <r>
          <rPr>
            <sz val="9"/>
            <color indexed="81"/>
            <rFont val="Tahoma"/>
            <family val="2"/>
          </rPr>
          <t>Page 1 of PDF, 10-Q  Shares as of Dec 14, 2021</t>
        </r>
      </text>
    </comment>
    <comment ref="J19" authorId="2" shapeId="0" xr:uid="{121AAADF-6744-4C27-A962-951B7CF25970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H20" authorId="1" shapeId="0" xr:uid="{36B0EECA-6F4A-44E0-94BC-9ECB823F3401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J20" authorId="1" shapeId="0" xr:uid="{F373F6BE-559C-49B0-B5B5-4AB09D52F922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G33" authorId="2" shapeId="0" xr:uid="{68E3F601-FC41-4624-B54B-415ACFF2861B}">
      <text>
        <r>
          <rPr>
            <sz val="9"/>
            <color indexed="81"/>
            <rFont val="Tahoma"/>
            <family val="2"/>
          </rPr>
          <t>Page 68 of PDF, 10-K</t>
        </r>
      </text>
    </comment>
    <comment ref="G34" authorId="2" shapeId="0" xr:uid="{926805CE-C862-476E-B9CA-45157F7EFEF8}">
      <text>
        <r>
          <rPr>
            <sz val="9"/>
            <color indexed="81"/>
            <rFont val="Tahoma"/>
            <family val="2"/>
          </rPr>
          <t>Page 85 of PDF, 10-K</t>
        </r>
      </text>
    </comment>
    <comment ref="D35" authorId="2" shapeId="0" xr:uid="{4C805C94-3949-4279-845C-CCA1402FF129}">
      <text>
        <r>
          <rPr>
            <sz val="9"/>
            <color indexed="81"/>
            <rFont val="Tahoma"/>
            <family val="2"/>
          </rPr>
          <t>Subtract Treasury book value, page 4 of PDF, 10-Q</t>
        </r>
      </text>
    </comment>
    <comment ref="G35" authorId="2" shapeId="0" xr:uid="{FECA462D-290D-4BE9-AABC-187735C0930A}">
      <text>
        <r>
          <rPr>
            <sz val="9"/>
            <color indexed="81"/>
            <rFont val="Tahoma"/>
            <family val="2"/>
          </rPr>
          <t>Page 13 10-Q</t>
        </r>
      </text>
    </comment>
    <comment ref="G36" authorId="2" shapeId="0" xr:uid="{5C8D57A2-0BC9-49E4-B401-E21B5D822E89}">
      <text>
        <r>
          <rPr>
            <sz val="9"/>
            <color indexed="81"/>
            <rFont val="Tahoma"/>
            <family val="2"/>
          </rPr>
          <t>Fair Value: Page 100 of PDF, 10-K
Carrying Value: Page 96 of PDF, 10-K</t>
        </r>
      </text>
    </comment>
    <comment ref="B53" authorId="0" shapeId="0" xr:uid="{4EA24376-6847-4C0A-9483-70956C8B0D3B}">
      <text>
        <r>
          <rPr>
            <sz val="9"/>
            <color indexed="81"/>
            <rFont val="Tahoma"/>
            <family val="2"/>
          </rPr>
          <t>Page 33 of PDF, 10-K</t>
        </r>
      </text>
    </comment>
    <comment ref="D53" authorId="0" shapeId="0" xr:uid="{E295C2FA-E1B0-410C-9A25-AB93EDEB7E59}">
      <text>
        <r>
          <rPr>
            <sz val="9"/>
            <color indexed="81"/>
            <rFont val="Tahoma"/>
            <family val="2"/>
          </rPr>
          <t>Page 51 of PDF, 10-K</t>
        </r>
      </text>
    </comment>
    <comment ref="E53" authorId="0" shapeId="0" xr:uid="{8377F11D-F169-404E-BD81-77B7FD66A55D}">
      <text>
        <r>
          <rPr>
            <sz val="9"/>
            <color indexed="81"/>
            <rFont val="Tahoma"/>
            <family val="2"/>
          </rPr>
          <t>Page 51 of PDF, 10-K</t>
        </r>
      </text>
    </comment>
    <comment ref="B54" authorId="0" shapeId="0" xr:uid="{564A2939-F1AC-423F-A55B-0C53AF49D52B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60 of PDF, 10-K (based on where last year's figures were obtained)</t>
        </r>
      </text>
    </comment>
    <comment ref="D54" authorId="0" shapeId="0" xr:uid="{F13A704E-09F9-4D26-8A1E-83D145E123D6}">
      <text>
        <r>
          <rPr>
            <sz val="9"/>
            <color indexed="81"/>
            <rFont val="Tahoma"/>
            <family val="2"/>
          </rPr>
          <t>Page 59 of PDF, 10-K</t>
        </r>
      </text>
    </comment>
    <comment ref="E54" authorId="0" shapeId="0" xr:uid="{BFD83339-1FC4-4699-8E26-6A692038DE6B}">
      <text>
        <r>
          <rPr>
            <sz val="9"/>
            <color indexed="81"/>
            <rFont val="Tahoma"/>
            <family val="2"/>
          </rPr>
          <t>Page 59 of PDF, 10-K</t>
        </r>
      </text>
    </comment>
    <comment ref="B55" authorId="0" shapeId="0" xr:uid="{9EC5CB6A-7ABF-42F4-91E8-83D69A44FBD7}">
      <text>
        <r>
          <rPr>
            <sz val="9"/>
            <color indexed="81"/>
            <rFont val="Tahoma"/>
            <family val="2"/>
          </rPr>
          <t>Page 4 10-Q</t>
        </r>
      </text>
    </comment>
    <comment ref="D55" authorId="0" shapeId="0" xr:uid="{B9DA4B3B-E721-4343-8936-01B20C18E08A}">
      <text>
        <r>
          <rPr>
            <sz val="9"/>
            <color indexed="81"/>
            <rFont val="Tahoma"/>
            <family val="2"/>
          </rPr>
          <t>Page 3 of PDF, 10-Q</t>
        </r>
      </text>
    </comment>
    <comment ref="E55" authorId="0" shapeId="0" xr:uid="{1A54B7F7-8F64-4CBF-AE3C-14B2397CD6CF}">
      <text>
        <r>
          <rPr>
            <sz val="9"/>
            <color indexed="81"/>
            <rFont val="Tahoma"/>
            <family val="2"/>
          </rPr>
          <t>Page 18 of PDF, 10-Q</t>
        </r>
      </text>
    </comment>
    <comment ref="D56" authorId="0" shapeId="0" xr:uid="{CB46221D-7F55-40D6-A3AF-80952380A34F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E56" authorId="0" shapeId="0" xr:uid="{7FC87ED9-A30A-452E-9246-61F507815996}">
      <text>
        <r>
          <rPr>
            <sz val="9"/>
            <color indexed="81"/>
            <rFont val="Tahoma"/>
            <family val="2"/>
          </rPr>
          <t>Page 104 of PDF, 10-K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C5564E24-D247-4C4C-A547-17633D31320A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VL page says "--"
Washington reported 39.4% from VL</t>
        </r>
      </text>
    </comment>
    <comment ref="H11" authorId="1" shapeId="0" xr:uid="{D0E768B7-C177-4F1B-8951-63D6A0975DCE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Montana pg 13  Ba2</t>
        </r>
      </text>
    </comment>
    <comment ref="H12" authorId="0" shapeId="0" xr:uid="{0170BCCD-885F-4E7D-A45D-5A149FEA34C8}">
      <text>
        <r>
          <rPr>
            <sz val="9"/>
            <color indexed="81"/>
            <rFont val="Tahoma"/>
            <family val="2"/>
          </rPr>
          <t xml:space="preserve">No rating found in the Mergent Bond Record book or the 10-K, Colorado did apply a mergent rating of Baa    Montana used Ba
</t>
        </r>
      </text>
    </comment>
    <comment ref="G13" authorId="0" shapeId="0" xr:uid="{6444D5BF-4D3F-4658-BC25-F8A098325150}">
      <text>
        <r>
          <rPr>
            <sz val="9"/>
            <color indexed="81"/>
            <rFont val="Tahoma"/>
            <family val="2"/>
          </rPr>
          <t>Page 41 of 10-Q</t>
        </r>
      </text>
    </comment>
    <comment ref="H13" authorId="0" shapeId="0" xr:uid="{084A91B7-8BAC-4EAC-87BC-4D9276FEA0C6}">
      <text>
        <r>
          <rPr>
            <sz val="9"/>
            <color indexed="81"/>
            <rFont val="Tahoma"/>
            <family val="2"/>
          </rPr>
          <t>Page 41 of 10-Q</t>
        </r>
      </text>
    </comment>
    <comment ref="H14" authorId="0" shapeId="0" xr:uid="{3DD8E2B6-2151-4E60-AC65-7807E2E91E81}">
      <text>
        <r>
          <rPr>
            <sz val="9"/>
            <color indexed="81"/>
            <rFont val="Tahoma"/>
            <family val="2"/>
          </rPr>
          <t>Utah study used A2
Washington used A1
Colorado used 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2DCACF4A-7C78-44AB-A87B-10080BC5311A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</t>
        </r>
      </text>
    </comment>
    <comment ref="G11" authorId="1" shapeId="0" xr:uid="{A2A2E6EE-257E-4DFA-8240-0E5E19B63EDF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</t>
        </r>
      </text>
    </comment>
    <comment ref="H11" authorId="0" shapeId="0" xr:uid="{1865C9C1-98FC-408D-869E-592695019C8C}">
      <text>
        <r>
          <rPr>
            <sz val="9"/>
            <color indexed="81"/>
            <rFont val="Tahoma"/>
            <family val="2"/>
          </rPr>
          <t>Page 42 of 2021 10K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D16" authorId="0" shapeId="0" xr:uid="{4891CF6D-B553-4C24-B477-54D36D3A4699}">
      <text>
        <r>
          <rPr>
            <sz val="9"/>
            <color indexed="81"/>
            <rFont val="Tahoma"/>
            <family val="2"/>
          </rPr>
          <t>Pulled from Washington State's Freight Airlines report</t>
        </r>
      </text>
    </comment>
    <comment ref="D29" authorId="0" shapeId="0" xr:uid="{321BE279-A318-40F3-A8FC-64FA1B08CF5E}">
      <text>
        <r>
          <rPr>
            <sz val="9"/>
            <color indexed="81"/>
            <rFont val="Tahoma"/>
            <family val="2"/>
          </rPr>
          <t>Pulled from Washington State's Freight Airlines report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K Reaves</author>
    <author>rev3857</author>
    <author>Baker, Mike A (DOR)</author>
  </authors>
  <commentList>
    <comment ref="H17" authorId="0" shapeId="0" xr:uid="{C07FFEA0-B18C-410A-9206-35E86047171D}">
      <text>
        <r>
          <rPr>
            <sz val="9"/>
            <color indexed="81"/>
            <rFont val="Tahoma"/>
            <family val="2"/>
          </rPr>
          <t>Page 68 of PDF, 10-K</t>
        </r>
      </text>
    </comment>
    <comment ref="J17" authorId="0" shapeId="0" xr:uid="{47BD95F3-5361-4393-8052-F0D05D1FF470}">
      <text>
        <r>
          <rPr>
            <sz val="9"/>
            <color indexed="81"/>
            <rFont val="Tahoma"/>
            <family val="2"/>
          </rPr>
          <t>Page 68 of PDF, 10-K</t>
        </r>
      </text>
    </comment>
    <comment ref="H18" authorId="0" shapeId="0" xr:uid="{D9C1E3FA-FBEB-4051-A559-5E52E59A526F}">
      <text>
        <r>
          <rPr>
            <sz val="9"/>
            <color indexed="81"/>
            <rFont val="Tahoma"/>
            <family val="2"/>
          </rPr>
          <t>Page 47 of PDF, 10-K</t>
        </r>
      </text>
    </comment>
    <comment ref="J18" authorId="0" shapeId="0" xr:uid="{83741C69-F4E2-44B0-B45A-E7E535B6FE9F}">
      <text>
        <r>
          <rPr>
            <sz val="9"/>
            <color indexed="81"/>
            <rFont val="Tahoma"/>
            <family val="2"/>
          </rPr>
          <t>Page 47 of PDF, 10-K</t>
        </r>
      </text>
    </comment>
    <comment ref="H19" authorId="0" shapeId="0" xr:uid="{D92FF492-28F1-4B50-95BE-A86506D388BF}">
      <text>
        <r>
          <rPr>
            <sz val="9"/>
            <color indexed="81"/>
            <rFont val="Tahoma"/>
            <family val="2"/>
          </rPr>
          <t>Page 91 of PDF, 10-K</t>
        </r>
      </text>
    </comment>
    <comment ref="J19" authorId="0" shapeId="0" xr:uid="{400B3E3A-63AE-448F-81FD-350D9741EC80}">
      <text>
        <r>
          <rPr>
            <sz val="9"/>
            <color indexed="81"/>
            <rFont val="Tahoma"/>
            <family val="2"/>
          </rPr>
          <t>Page 91 of PDF, 10-K</t>
        </r>
      </text>
    </comment>
    <comment ref="H20" authorId="0" shapeId="0" xr:uid="{D683187F-0735-40BC-B35A-1790778FCFDD}">
      <text>
        <r>
          <rPr>
            <sz val="9"/>
            <color indexed="81"/>
            <rFont val="Tahoma"/>
            <family val="2"/>
          </rPr>
          <t>Page 149 of PDF, 10-K</t>
        </r>
      </text>
    </comment>
    <comment ref="J20" authorId="0" shapeId="0" xr:uid="{0B6D7B14-0936-459E-A5A5-4908396E92A5}">
      <text>
        <r>
          <rPr>
            <sz val="9"/>
            <color indexed="81"/>
            <rFont val="Tahoma"/>
            <family val="2"/>
          </rPr>
          <t>Page 149 of PDF, 10-K</t>
        </r>
      </text>
    </comment>
    <comment ref="H21" authorId="0" shapeId="0" xr:uid="{DFBEEF8E-AE4D-44B1-95B1-11D689FA9539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I21" authorId="0" shapeId="0" xr:uid="{6AA44681-C34F-4682-8EBE-D67FCB750281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J21" authorId="0" shapeId="0" xr:uid="{AE906565-CC72-4E61-803D-4199745C21A9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H22" authorId="0" shapeId="0" xr:uid="{D8CFDBCA-D8F6-41E2-BEE6-FAD5A694E9BA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I22" authorId="1" shapeId="0" xr:uid="{8BE91FFD-1A24-46CC-B62A-1FEDE0DDC011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J22" authorId="0" shapeId="0" xr:uid="{C2E4BA7A-D419-47CD-A3AD-94D3171CA6B4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H23" authorId="0" shapeId="0" xr:uid="{14E6C27B-BF89-4D4E-8FAB-8F41101857A9}">
      <text>
        <r>
          <rPr>
            <sz val="9"/>
            <color indexed="81"/>
            <rFont val="Tahoma"/>
            <family val="2"/>
          </rPr>
          <t>Page 28 of PDF, 10-K</t>
        </r>
      </text>
    </comment>
    <comment ref="J23" authorId="0" shapeId="0" xr:uid="{905DC928-1BC9-4793-97D8-4B44DED3E0AF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H24" authorId="0" shapeId="0" xr:uid="{E2DEDC6E-24DD-445E-8D3B-57B2785C0C58}">
      <text>
        <r>
          <rPr>
            <sz val="9"/>
            <color indexed="81"/>
            <rFont val="Tahoma"/>
            <family val="2"/>
          </rPr>
          <t>Page 78 of PDF, 10-K</t>
        </r>
      </text>
    </comment>
    <comment ref="I24" authorId="2" shapeId="0" xr:uid="{659734BB-3CA9-4089-8C92-B83A456D94B8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78 of PDF, 10-K</t>
        </r>
      </text>
    </comment>
    <comment ref="J24" authorId="0" shapeId="0" xr:uid="{32B16B20-258A-4E49-A592-D7D49057A361}">
      <text>
        <r>
          <rPr>
            <sz val="9"/>
            <color indexed="81"/>
            <rFont val="Tahoma"/>
            <family val="2"/>
          </rPr>
          <t>Page 78 of PDF, 10-K</t>
        </r>
      </text>
    </comment>
    <comment ref="H25" authorId="0" shapeId="0" xr:uid="{0AAFD17B-9A80-44D9-AC22-4735AAAAC413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J25" authorId="0" shapeId="0" xr:uid="{9AE7AC29-2490-4782-8BF3-0C394D9B0BAB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H26" authorId="0" shapeId="0" xr:uid="{FA08E020-D51D-4121-BF0C-2D16604344A4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J26" authorId="0" shapeId="0" xr:uid="{1CCB7ED4-D2C5-4B7F-8CF3-6C3E7111EE31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H27" authorId="0" shapeId="0" xr:uid="{3786E3E1-198C-4B7B-B435-29BB702CBBEC}">
      <text>
        <r>
          <rPr>
            <sz val="9"/>
            <color indexed="81"/>
            <rFont val="Tahoma"/>
            <family val="2"/>
          </rPr>
          <t>Page 63 of PDF, 10-K</t>
        </r>
      </text>
    </comment>
    <comment ref="J27" authorId="0" shapeId="0" xr:uid="{8F8A66FF-A377-4CC1-827E-089184545A46}">
      <text>
        <r>
          <rPr>
            <sz val="9"/>
            <color indexed="81"/>
            <rFont val="Tahoma"/>
            <family val="2"/>
          </rPr>
          <t xml:space="preserve">Page 63 10-K
</t>
        </r>
      </text>
    </comment>
    <comment ref="H28" authorId="0" shapeId="0" xr:uid="{F3555C39-6500-49EA-923A-43CE378B9866}">
      <text>
        <r>
          <rPr>
            <sz val="9"/>
            <color indexed="81"/>
            <rFont val="Tahoma"/>
            <family val="2"/>
          </rPr>
          <t>Page 68 of PDF, 10-K</t>
        </r>
      </text>
    </comment>
    <comment ref="J28" authorId="0" shapeId="0" xr:uid="{5CF09B18-4036-4E92-AE9D-5F6F5C5B4E68}">
      <text>
        <r>
          <rPr>
            <sz val="9"/>
            <color indexed="81"/>
            <rFont val="Tahoma"/>
            <family val="2"/>
          </rPr>
          <t>Page 66 of PDF, 10-K</t>
        </r>
      </text>
    </comment>
    <comment ref="H29" authorId="0" shapeId="0" xr:uid="{D22386F0-758E-445A-A372-FFABEA96D187}">
      <text>
        <r>
          <rPr>
            <sz val="9"/>
            <color indexed="81"/>
            <rFont val="Tahoma"/>
            <family val="2"/>
          </rPr>
          <t>Page 41 of PDF, 10-K</t>
        </r>
      </text>
    </comment>
    <comment ref="J29" authorId="0" shapeId="0" xr:uid="{F36800DB-D879-4BDA-8824-3A887776A9F0}">
      <text>
        <r>
          <rPr>
            <sz val="9"/>
            <color indexed="81"/>
            <rFont val="Tahoma"/>
            <family val="2"/>
          </rPr>
          <t>Page 41 of PDF, 10-K</t>
        </r>
      </text>
    </comment>
    <comment ref="H30" authorId="0" shapeId="0" xr:uid="{577ECB05-7A45-485C-AF40-31063F00FB2C}">
      <text>
        <r>
          <rPr>
            <sz val="9"/>
            <color indexed="81"/>
            <rFont val="Tahoma"/>
            <family val="2"/>
          </rPr>
          <t>Page 90of PDF, 10-K</t>
        </r>
      </text>
    </comment>
    <comment ref="J30" authorId="0" shapeId="0" xr:uid="{3BEF391C-58EF-4552-BB5B-423AE2BA3A97}">
      <text>
        <r>
          <rPr>
            <sz val="9"/>
            <color indexed="81"/>
            <rFont val="Tahoma"/>
            <family val="2"/>
          </rPr>
          <t>Page 185 of PDF, 10-K</t>
        </r>
      </text>
    </comment>
    <comment ref="H31" authorId="0" shapeId="0" xr:uid="{8834F957-6D5D-476B-85FA-EA0A2C5427E6}">
      <text>
        <r>
          <rPr>
            <sz val="9"/>
            <color indexed="81"/>
            <rFont val="Tahoma"/>
            <family val="2"/>
          </rPr>
          <t>Page 130 of PDF, 10-K</t>
        </r>
      </text>
    </comment>
    <comment ref="I31" authorId="0" shapeId="0" xr:uid="{11D9CCB0-AF94-4648-9522-367D197D8674}">
      <text>
        <r>
          <rPr>
            <sz val="9"/>
            <color indexed="81"/>
            <rFont val="Tahoma"/>
            <family val="2"/>
          </rPr>
          <t>Page 130 of PDF, 10-K</t>
        </r>
      </text>
    </comment>
    <comment ref="J31" authorId="0" shapeId="0" xr:uid="{782D3DDA-BD12-42A7-BA48-0EC49091721C}">
      <text>
        <r>
          <rPr>
            <sz val="9"/>
            <color indexed="81"/>
            <rFont val="Tahoma"/>
            <family val="2"/>
          </rPr>
          <t>Page 130 of PDF, 10-K</t>
        </r>
      </text>
    </comment>
    <comment ref="H32" authorId="0" shapeId="0" xr:uid="{F3B3D960-3816-4E39-9DE6-12A5F17B65AF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I32" authorId="0" shapeId="0" xr:uid="{54E124A6-B43C-4C92-A9E1-77B0B374D31E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J32" authorId="0" shapeId="0" xr:uid="{D4E83D55-0E31-459E-AAEA-CE4F178F926E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F42" authorId="3" shapeId="0" xr:uid="{6B77FDCD-271C-43F4-A867-E075928C8376}">
      <text>
        <r>
          <rPr>
            <sz val="9"/>
            <color indexed="81"/>
            <rFont val="Tahoma"/>
            <family val="2"/>
          </rPr>
          <t>Page 136 of PDF, 10-K</t>
        </r>
      </text>
    </comment>
    <comment ref="F43" authorId="1" shapeId="0" xr:uid="{256EA80B-5734-48D1-BA68-74AD564564D4}">
      <text>
        <r>
          <rPr>
            <sz val="9"/>
            <color indexed="81"/>
            <rFont val="Tahoma"/>
            <family val="2"/>
          </rPr>
          <t>Page 91 of PDF, 10-K</t>
        </r>
      </text>
    </comment>
    <comment ref="F44" authorId="1" shapeId="0" xr:uid="{CFC53CD6-8902-491A-89F4-9A2791C909ED}">
      <text>
        <r>
          <rPr>
            <sz val="9"/>
            <color indexed="81"/>
            <rFont val="Tahoma"/>
            <family val="2"/>
          </rPr>
          <t>Page 135 of PDF, 10-K</t>
        </r>
      </text>
    </comment>
    <comment ref="F45" authorId="1" shapeId="0" xr:uid="{708D6CF8-30D0-42DF-861C-45B4551F3417}">
      <text>
        <r>
          <rPr>
            <sz val="9"/>
            <color indexed="81"/>
            <rFont val="Tahoma"/>
            <family val="2"/>
          </rPr>
          <t>Page 360 of Full Report 10-K</t>
        </r>
      </text>
    </comment>
    <comment ref="F46" authorId="3" shapeId="0" xr:uid="{97B2FF4C-73EF-4994-8B29-113555DDA394}">
      <text>
        <r>
          <rPr>
            <sz val="9"/>
            <color indexed="81"/>
            <rFont val="Tahoma"/>
            <family val="2"/>
          </rPr>
          <t>Page 152, 10-K</t>
        </r>
      </text>
    </comment>
    <comment ref="F47" authorId="3" shapeId="0" xr:uid="{891BA562-D62C-47CB-969B-A3F451FE31C9}">
      <text>
        <r>
          <rPr>
            <sz val="9"/>
            <color indexed="81"/>
            <rFont val="Tahoma"/>
            <family val="2"/>
          </rPr>
          <t xml:space="preserve">Page 131 of PDF, 10-K
</t>
        </r>
      </text>
    </comment>
    <comment ref="F48" authorId="3" shapeId="0" xr:uid="{79946E05-6616-4205-AA05-832412C00AC0}">
      <text>
        <r>
          <rPr>
            <sz val="9"/>
            <color indexed="81"/>
            <rFont val="Tahoma"/>
            <family val="2"/>
          </rPr>
          <t>Page 112 of PDF, 10-K</t>
        </r>
      </text>
    </comment>
    <comment ref="F49" authorId="3" shapeId="0" xr:uid="{7A076C5E-DB72-42A0-AFC3-2946FBB8B095}">
      <text>
        <r>
          <rPr>
            <sz val="9"/>
            <color indexed="81"/>
            <rFont val="Tahoma"/>
            <family val="2"/>
          </rPr>
          <t>Page 195 of PDF, 10-K</t>
        </r>
      </text>
    </comment>
    <comment ref="F50" authorId="3" shapeId="0" xr:uid="{D1F66628-2EE1-4F2E-B6F7-F1C97FDD39A1}">
      <text>
        <r>
          <rPr>
            <sz val="9"/>
            <color indexed="81"/>
            <rFont val="Tahoma"/>
            <family val="2"/>
          </rPr>
          <t>Page 141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1" authorId="3" shapeId="0" xr:uid="{CE0CF37E-018F-4D8B-ADF3-E3EB2D9E1DE3}">
      <text>
        <r>
          <rPr>
            <sz val="9"/>
            <color indexed="81"/>
            <rFont val="Tahoma"/>
            <family val="2"/>
          </rPr>
          <t>Page 112 of PDF, 10-K</t>
        </r>
      </text>
    </comment>
    <comment ref="F52" authorId="3" shapeId="0" xr:uid="{11034B0D-245C-469D-ACA1-0A1F83A4592F}">
      <text>
        <r>
          <rPr>
            <sz val="9"/>
            <color indexed="81"/>
            <rFont val="Tahoma"/>
            <family val="2"/>
          </rPr>
          <t xml:space="preserve">Page 106 of PDF, 10-K
</t>
        </r>
      </text>
    </comment>
    <comment ref="F53" authorId="3" shapeId="0" xr:uid="{0B89B49A-8A4F-4C1C-8787-2CB1F1440773}">
      <text>
        <r>
          <rPr>
            <sz val="9"/>
            <color indexed="81"/>
            <rFont val="Tahoma"/>
            <family val="2"/>
          </rPr>
          <t>Page 99 of PDF, 10-K</t>
        </r>
      </text>
    </comment>
    <comment ref="F54" authorId="3" shapeId="0" xr:uid="{246D0835-1E8C-4991-A39B-EFE968276F28}">
      <text>
        <r>
          <rPr>
            <sz val="9"/>
            <color indexed="81"/>
            <rFont val="Tahoma"/>
            <family val="2"/>
          </rPr>
          <t>Page 69 of PDF, 10-K</t>
        </r>
      </text>
    </comment>
    <comment ref="F55" authorId="3" shapeId="0" xr:uid="{D11F4C71-91F3-4684-919E-FB3B59D70A6E}">
      <text>
        <r>
          <rPr>
            <sz val="9"/>
            <color indexed="81"/>
            <rFont val="Tahoma"/>
            <family val="2"/>
          </rPr>
          <t>Page 180 of PDF, 10-K (PPL line)</t>
        </r>
      </text>
    </comment>
    <comment ref="E56" authorId="4" shapeId="0" xr:uid="{39D51F4E-8D4A-4938-A568-E5DA01065C52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10K page 243
</t>
        </r>
      </text>
    </comment>
    <comment ref="F56" authorId="3" shapeId="0" xr:uid="{884E70BE-2F7A-4DCE-978A-F3E6285DB8C1}">
      <text>
        <r>
          <rPr>
            <sz val="9"/>
            <color indexed="81"/>
            <rFont val="Tahoma"/>
            <family val="2"/>
          </rPr>
          <t>Page 299 of 10-K</t>
        </r>
      </text>
    </comment>
    <comment ref="F57" authorId="3" shapeId="0" xr:uid="{393E0F21-E0FF-46A4-A093-5B3CA2A83CD4}">
      <text>
        <r>
          <rPr>
            <sz val="9"/>
            <color indexed="81"/>
            <rFont val="Tahoma"/>
            <family val="2"/>
          </rPr>
          <t>Page 135 of PDF, 10-K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E12" authorId="0" shapeId="0" xr:uid="{3800C078-61A4-401B-8A88-F72B522AE943}">
      <text>
        <r>
          <rPr>
            <sz val="9"/>
            <color indexed="81"/>
            <rFont val="Tahoma"/>
            <family val="2"/>
          </rPr>
          <t>NMF on VL</t>
        </r>
      </text>
    </comment>
    <comment ref="G12" authorId="0" shapeId="0" xr:uid="{BA9873AA-7D5A-4CF0-B966-13A3365423C2}">
      <text>
        <r>
          <rPr>
            <sz val="9"/>
            <color indexed="81"/>
            <rFont val="Tahoma"/>
            <family val="2"/>
          </rPr>
          <t>Page 53 of PDF, 10-K</t>
        </r>
      </text>
    </comment>
    <comment ref="H12" authorId="0" shapeId="0" xr:uid="{929B1C2B-7E5C-4036-A103-4E35B4F4B2DC}">
      <text>
        <r>
          <rPr>
            <sz val="9"/>
            <color indexed="81"/>
            <rFont val="Tahoma"/>
            <family val="2"/>
          </rPr>
          <t>Page 53, 10-K</t>
        </r>
      </text>
    </comment>
    <comment ref="E13" authorId="0" shapeId="0" xr:uid="{59767022-AE0C-4D7D-ABFB-0687A27A9519}">
      <text>
        <r>
          <rPr>
            <sz val="9"/>
            <color indexed="81"/>
            <rFont val="Tahoma"/>
            <family val="2"/>
          </rPr>
          <t>NMF on VL</t>
        </r>
      </text>
    </comment>
    <comment ref="G13" authorId="0" shapeId="0" xr:uid="{3C92EB56-A511-4D8F-823D-58E22B75D279}">
      <text>
        <r>
          <rPr>
            <sz val="9"/>
            <color indexed="81"/>
            <rFont val="Tahoma"/>
            <family val="2"/>
          </rPr>
          <t>Page 40 of PDF, 10-K</t>
        </r>
      </text>
    </comment>
    <comment ref="H13" authorId="0" shapeId="0" xr:uid="{B7FE9890-A99B-4ED7-B015-C753428DB148}">
      <text>
        <r>
          <rPr>
            <sz val="9"/>
            <color indexed="81"/>
            <rFont val="Tahoma"/>
            <family val="2"/>
          </rPr>
          <t>Page 40 of PDF, 10-K</t>
        </r>
      </text>
    </comment>
    <comment ref="G14" authorId="0" shapeId="0" xr:uid="{5CEBCE84-53AC-4F62-B02A-07E6483ED9BD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H14" authorId="0" shapeId="0" xr:uid="{154AB97A-AD39-4495-A502-CDC7E5290C63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H15" authorId="0" shapeId="0" xr:uid="{2FDFC0FB-E15E-46FE-B4F2-449C97AAF311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92 (PDF)</t>
        </r>
      </text>
    </comment>
    <comment ref="G16" authorId="0" shapeId="0" xr:uid="{EB3D148B-4F39-4DDA-9EAB-6061B518A00D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H16" authorId="0" shapeId="0" xr:uid="{22DF994B-3877-4C29-97E8-784B74F3EEDC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G21" authorId="0" shapeId="0" xr:uid="{FEF5EC5D-F2DA-416A-AA1A-C28867DA07BB}">
      <text>
        <r>
          <rPr>
            <sz val="9"/>
            <color indexed="81"/>
            <rFont val="Tahoma"/>
            <family val="2"/>
          </rPr>
          <t>Page 53 of PDF, 10-K</t>
        </r>
      </text>
    </comment>
    <comment ref="H21" authorId="0" shapeId="0" xr:uid="{B60E160E-E9E6-4C26-8F43-91D3724972F2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98 (PDF)</t>
        </r>
      </text>
    </comment>
    <comment ref="E22" authorId="0" shapeId="0" xr:uid="{A3FD605A-04D5-41AD-AF1F-8AC0FCFC7209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Big change, last year was 17.4%</t>
        </r>
      </text>
    </comment>
    <comment ref="H22" authorId="0" shapeId="0" xr:uid="{E436F6CF-6985-4B2C-8982-880856926BDD}">
      <text>
        <r>
          <rPr>
            <sz val="9"/>
            <color indexed="81"/>
            <rFont val="Tahoma"/>
            <family val="2"/>
          </rPr>
          <t>Pulled from Utah study</t>
        </r>
      </text>
    </comment>
    <comment ref="G23" authorId="0" shapeId="0" xr:uid="{204ED29D-F8BF-4A2B-B1B3-1623EF72CDD4}">
      <text>
        <r>
          <rPr>
            <sz val="9"/>
            <color indexed="81"/>
            <rFont val="Tahoma"/>
            <family val="2"/>
          </rPr>
          <t>Page 51 of PDF, 10-K</t>
        </r>
      </text>
    </comment>
    <comment ref="H23" authorId="0" shapeId="0" xr:uid="{CF70D90E-02FE-47A5-BF28-F57BC3E80859}">
      <text>
        <r>
          <rPr>
            <sz val="9"/>
            <color indexed="81"/>
            <rFont val="Tahoma"/>
            <family val="2"/>
          </rPr>
          <t>Page 51 of PDF, 10-K</t>
        </r>
      </text>
    </comment>
    <comment ref="G24" authorId="0" shapeId="0" xr:uid="{14BB3239-35C5-4A22-8201-7003585B08B6}">
      <text>
        <r>
          <rPr>
            <sz val="9"/>
            <color indexed="81"/>
            <rFont val="Tahoma"/>
            <family val="2"/>
          </rPr>
          <t>Page 35 of PDF, 10-K</t>
        </r>
      </text>
    </comment>
    <comment ref="H24" authorId="0" shapeId="0" xr:uid="{60A6E334-CCB2-4857-8DF4-FD79F1177453}">
      <text>
        <r>
          <rPr>
            <sz val="9"/>
            <color indexed="81"/>
            <rFont val="Tahoma"/>
            <family val="2"/>
          </rPr>
          <t>Page 35 of PDF, 10-K</t>
        </r>
      </text>
    </comment>
    <comment ref="G25" authorId="0" shapeId="0" xr:uid="{1F3FFC66-1F68-4413-8DAD-DB8ADA628B4F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H25" authorId="0" shapeId="0" xr:uid="{BBC18B7E-0830-4D41-96E8-787CE34A2629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H26" authorId="0" shapeId="0" xr:uid="{D9130155-6908-47B5-A86C-17AAD20E7DFF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108 (PDF)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K Reaves</author>
    <author>rev3857</author>
  </authors>
  <commentList>
    <comment ref="H17" authorId="0" shapeId="0" xr:uid="{2B7B77D5-F618-434B-B052-0D02E6BAE865}">
      <text>
        <r>
          <rPr>
            <sz val="9"/>
            <color indexed="81"/>
            <rFont val="Tahoma"/>
            <family val="2"/>
          </rPr>
          <t>Page 160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6798142E-195F-4438-A75F-131C8776A576}">
      <text>
        <r>
          <rPr>
            <sz val="9"/>
            <color indexed="81"/>
            <rFont val="Tahoma"/>
            <family val="2"/>
          </rPr>
          <t>Page 160 of PDF, 10-K</t>
        </r>
      </text>
    </comment>
    <comment ref="H18" authorId="0" shapeId="0" xr:uid="{321D65B4-F0EF-4322-83DA-9FDE95FE58A9}">
      <text>
        <r>
          <rPr>
            <sz val="9"/>
            <color indexed="81"/>
            <rFont val="Tahoma"/>
            <family val="2"/>
          </rPr>
          <t>Page 88 of PDF, 10-K</t>
        </r>
      </text>
    </comment>
    <comment ref="J18" authorId="0" shapeId="0" xr:uid="{A8E08770-479B-4245-B5B1-A05BA8989A10}">
      <text>
        <r>
          <rPr>
            <sz val="9"/>
            <color indexed="81"/>
            <rFont val="Tahoma"/>
            <family val="2"/>
          </rPr>
          <t>Page 88 of PDF, 10-K</t>
        </r>
      </text>
    </comment>
    <comment ref="H19" authorId="0" shapeId="0" xr:uid="{07476869-3890-4460-A22A-F8DC79B020FA}">
      <text>
        <r>
          <rPr>
            <sz val="9"/>
            <color indexed="81"/>
            <rFont val="Tahoma"/>
            <family val="2"/>
          </rPr>
          <t>Page 130 of PDF, 10-K</t>
        </r>
      </text>
    </comment>
    <comment ref="I19" authorId="0" shapeId="0" xr:uid="{81787511-0F73-4754-A5A8-13FA1007DC13}">
      <text>
        <r>
          <rPr>
            <sz val="9"/>
            <color indexed="81"/>
            <rFont val="Tahoma"/>
            <family val="2"/>
          </rPr>
          <t>Page 130 of PDF, 10-K</t>
        </r>
      </text>
    </comment>
    <comment ref="J19" authorId="0" shapeId="0" xr:uid="{92E8776E-4C12-462C-8E08-F51AC4CC5218}">
      <text>
        <r>
          <rPr>
            <sz val="9"/>
            <color indexed="81"/>
            <rFont val="Tahoma"/>
            <family val="2"/>
          </rPr>
          <t>Page 130 of PDF, 10-K</t>
        </r>
      </text>
    </comment>
    <comment ref="H20" authorId="1" shapeId="0" xr:uid="{FF9AF6A8-562A-41F2-B74B-105A2E6C0F97}">
      <text>
        <r>
          <rPr>
            <sz val="9"/>
            <color indexed="81"/>
            <rFont val="Tahoma"/>
            <family val="2"/>
          </rPr>
          <t xml:space="preserve">Page 129 of PDF, 10K 
Annual Report
</t>
        </r>
      </text>
    </comment>
    <comment ref="I20" authorId="1" shapeId="0" xr:uid="{593A30B2-68E5-4382-8B9B-F257DC57F56F}">
      <text>
        <r>
          <rPr>
            <sz val="9"/>
            <color indexed="81"/>
            <rFont val="Tahoma"/>
            <family val="2"/>
          </rPr>
          <t>Page 129 of PDF, Annual Report</t>
        </r>
      </text>
    </comment>
    <comment ref="J20" authorId="1" shapeId="0" xr:uid="{FF1692CD-27AA-4F35-A24A-831B23BF1E6A}">
      <text>
        <r>
          <rPr>
            <sz val="9"/>
            <color indexed="81"/>
            <rFont val="Tahoma"/>
            <family val="2"/>
          </rPr>
          <t xml:space="preserve">Page 129 of PDF, Annual Report
</t>
        </r>
      </text>
    </comment>
    <comment ref="H21" authorId="0" shapeId="0" xr:uid="{356410FF-A8A1-41C4-850A-86D8A071F440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I21" authorId="2" shapeId="0" xr:uid="{63740697-5F39-4424-84C4-3E5E6C3141E0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J21" authorId="0" shapeId="0" xr:uid="{0D7B7E2B-2E50-4D10-A1EB-5DD676ECD72A}">
      <text>
        <r>
          <rPr>
            <sz val="9"/>
            <color indexed="81"/>
            <rFont val="Tahoma"/>
            <family val="2"/>
          </rPr>
          <t>Page 99 of PDF, 10-K</t>
        </r>
      </text>
    </comment>
    <comment ref="F30" authorId="3" shapeId="0" xr:uid="{317B598F-A090-47AF-A0B1-9FDCBF3848C2}">
      <text>
        <r>
          <rPr>
            <sz val="9"/>
            <color indexed="81"/>
            <rFont val="Tahoma"/>
            <family val="2"/>
          </rPr>
          <t>Page 298 10-K</t>
        </r>
      </text>
    </comment>
    <comment ref="F31" authorId="3" shapeId="0" xr:uid="{C409A448-022E-425A-8AC0-C0F0CFBD4B24}">
      <text>
        <r>
          <rPr>
            <sz val="9"/>
            <color indexed="81"/>
            <rFont val="Tahoma"/>
            <family val="2"/>
          </rPr>
          <t>Page 110 of PDF, 10-K</t>
        </r>
      </text>
    </comment>
    <comment ref="F32" authorId="3" shapeId="0" xr:uid="{5637E0E6-04DD-48D0-B0E3-F9E83CD4E29C}">
      <text>
        <r>
          <rPr>
            <sz val="9"/>
            <color indexed="81"/>
            <rFont val="Tahoma"/>
            <family val="2"/>
          </rPr>
          <t>Page II-254 of PDF, 10-K
https://www.sec.gov/Archives/edgar/data/3153/000009212221000006/so-20201231.htm</t>
        </r>
      </text>
    </comment>
    <comment ref="F33" authorId="3" shapeId="0" xr:uid="{C7A22CB9-F01C-43B4-9434-AD010B26DBB8}">
      <text>
        <r>
          <rPr>
            <sz val="9"/>
            <color indexed="81"/>
            <rFont val="Tahoma"/>
            <family val="2"/>
          </rPr>
          <t>Page  155 of PDF, Annual 10K Report</t>
        </r>
      </text>
    </comment>
    <comment ref="F34" authorId="3" shapeId="0" xr:uid="{1926CDFB-88F2-4E1E-8804-B71C05FA97A1}">
      <text>
        <r>
          <rPr>
            <sz val="9"/>
            <color indexed="81"/>
            <rFont val="Tahoma"/>
            <family val="2"/>
          </rPr>
          <t>Page 169 of PDF, 10-K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H14" authorId="0" shapeId="0" xr:uid="{8B28E13B-1ABC-437C-930A-B10352EFD1EC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108 (PDF)</t>
        </r>
      </text>
    </comment>
    <comment ref="E15" authorId="0" shapeId="0" xr:uid="{DCFE51FA-4E4A-4F57-A292-2F00A1AE9B86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Vl has "38.0" for 2021 &amp; 2022
 Income Tax Rate </t>
        </r>
      </text>
    </comment>
    <comment ref="H16" authorId="0" shapeId="0" xr:uid="{E4E28D69-3D4A-4C34-9C0A-01A67287F239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Pulled from Colorado study (page 7)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REV4175</author>
    <author>REVT221</author>
    <author>rev4440</author>
    <author>rev3857</author>
  </authors>
  <commentList>
    <comment ref="F13" authorId="0" shapeId="0" xr:uid="{44DADD1F-F2BF-4BD4-895C-02FBDF040522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Formula, average of High and Low</t>
        </r>
      </text>
    </comment>
    <comment ref="J13" authorId="0" shapeId="0" xr:uid="{49DCED09-3BFE-4467-BCED-3A2EF959FFA6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From 10-K, "Current portion of long-term debt" + "Long-term debt"</t>
        </r>
      </text>
    </comment>
    <comment ref="A17" authorId="1" shapeId="0" xr:uid="{A7EDB10A-7BD5-4AB6-9C4C-B999665691B5}">
      <text>
        <r>
          <rPr>
            <b/>
            <sz val="9"/>
            <color indexed="81"/>
            <rFont val="Tahoma"/>
            <family val="2"/>
          </rPr>
          <t>REV4175:</t>
        </r>
        <r>
          <rPr>
            <sz val="9"/>
            <color indexed="81"/>
            <rFont val="Tahoma"/>
            <family val="2"/>
          </rPr>
          <t xml:space="preserve">
Atmos Energy's year end is Sept 30. Used the quarterly report (10 Q) for quarter ended 12/31/2018.</t>
        </r>
      </text>
    </comment>
    <comment ref="H17" authorId="2" shapeId="0" xr:uid="{7F599513-0C78-4E32-BC8C-B422CF9DD16C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J17" authorId="2" shapeId="0" xr:uid="{DFAE5D99-8DE1-4A93-A121-5548653FFD59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H18" authorId="2" shapeId="0" xr:uid="{A0F14D5A-1CD9-4804-BB3F-A3568EAC4A02}">
      <text>
        <r>
          <rPr>
            <sz val="9"/>
            <color indexed="81"/>
            <rFont val="Tahoma"/>
            <family val="2"/>
          </rPr>
          <t>Page 63 of PDF, 10-K</t>
        </r>
      </text>
    </comment>
    <comment ref="J18" authorId="2" shapeId="0" xr:uid="{3531AE97-11F2-4F4D-BCC4-6BA33D2AA628}">
      <text>
        <r>
          <rPr>
            <sz val="9"/>
            <color indexed="81"/>
            <rFont val="Tahoma"/>
            <family val="2"/>
          </rPr>
          <t>Page 63 of PDF, 10-K</t>
        </r>
      </text>
    </comment>
    <comment ref="H19" authorId="3" shapeId="0" xr:uid="{A1968E6A-9FDC-4607-B547-286E02C67DC3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I19" authorId="3" shapeId="0" xr:uid="{10ECEB29-3D61-4B7A-A182-F3943CCBD4AE}">
      <text>
        <r>
          <rPr>
            <sz val="9"/>
            <color indexed="81"/>
            <rFont val="Tahoma"/>
            <family val="2"/>
          </rPr>
          <t>Page 158 &amp; 163 of PDF, 10-K</t>
        </r>
      </text>
    </comment>
    <comment ref="J19" authorId="3" shapeId="0" xr:uid="{976458D2-43F7-4648-983E-440C7940C75C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H20" authorId="3" shapeId="0" xr:uid="{A6623B56-0CE2-4BDC-9B2A-B02A7BAE1267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I20" authorId="2" shapeId="0" xr:uid="{B7CF8C5C-CDF1-4423-B2EB-CC950B734771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J20" authorId="3" shapeId="0" xr:uid="{C7AF6B38-29D6-4775-83CA-CD5568904465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H21" authorId="3" shapeId="0" xr:uid="{4FEDA73A-5B5A-497C-8CB2-EE7353A5B7E9}">
      <text>
        <r>
          <rPr>
            <sz val="9"/>
            <color indexed="81"/>
            <rFont val="Tahoma"/>
            <family val="2"/>
          </rPr>
          <t>Page 63 of PDF, 10-K</t>
        </r>
      </text>
    </comment>
    <comment ref="J21" authorId="3" shapeId="0" xr:uid="{A4EA038A-2700-4131-9C5B-694F34103DBD}">
      <text>
        <r>
          <rPr>
            <sz val="9"/>
            <color indexed="81"/>
            <rFont val="Tahoma"/>
            <family val="2"/>
          </rPr>
          <t xml:space="preserve">Page 63 10-K
</t>
        </r>
      </text>
    </comment>
    <comment ref="A22" authorId="1" shapeId="0" xr:uid="{A138E450-AB35-4375-BFCD-7535B236053B}">
      <text>
        <r>
          <rPr>
            <b/>
            <sz val="9"/>
            <color indexed="81"/>
            <rFont val="Tahoma"/>
            <family val="2"/>
          </rPr>
          <t>REV4175:</t>
        </r>
        <r>
          <rPr>
            <sz val="9"/>
            <color indexed="81"/>
            <rFont val="Tahoma"/>
            <family val="2"/>
          </rPr>
          <t xml:space="preserve">
New Jersey Resources has a Sep 30 year end. The 10-q for quarter ended 12/31/2018 was used.</t>
        </r>
      </text>
    </comment>
    <comment ref="H22" authorId="3" shapeId="0" xr:uid="{8C96BAA1-59A9-4B88-B835-D9C453991297}">
      <text>
        <r>
          <rPr>
            <sz val="9"/>
            <color indexed="81"/>
            <rFont val="Tahoma"/>
            <family val="2"/>
          </rPr>
          <t>Page 10 of PDF, 10-Q</t>
        </r>
      </text>
    </comment>
    <comment ref="J22" authorId="2" shapeId="0" xr:uid="{63B002A5-8CF4-47F2-B51E-485C69D1FB0E}">
      <text>
        <r>
          <rPr>
            <sz val="9"/>
            <color indexed="81"/>
            <rFont val="Tahoma"/>
            <family val="2"/>
          </rPr>
          <t>Page  10 of PDF, 10-Q</t>
        </r>
      </text>
    </comment>
    <comment ref="H23" authorId="3" shapeId="0" xr:uid="{E52D6D87-FE77-4D92-B561-268E6153EC55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I23" authorId="3" shapeId="0" xr:uid="{C0390110-1A70-4A4C-9170-17A8FE328528}">
      <text>
        <r>
          <rPr>
            <sz val="9"/>
            <color indexed="81"/>
            <rFont val="Tahoma"/>
            <family val="2"/>
          </rPr>
          <t xml:space="preserve">Page 103 &amp; 86 of PDF, 10-K  </t>
        </r>
      </text>
    </comment>
    <comment ref="J23" authorId="3" shapeId="0" xr:uid="{4F3F5536-6F93-4C41-B4BB-3D1BBD0723F4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H24" authorId="3" shapeId="0" xr:uid="{378DB61F-D260-4B5C-B384-7F4E7B0FD6CB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J24" authorId="0" shapeId="0" xr:uid="{16B108C2-7EE5-4DB0-A056-23A29A0840A1}">
      <text>
        <r>
          <rPr>
            <sz val="9"/>
            <color indexed="81"/>
            <rFont val="Tahoma"/>
            <family val="2"/>
          </rPr>
          <t>Page 81 of PDF, 10-K</t>
        </r>
      </text>
    </comment>
    <comment ref="H25" authorId="3" shapeId="0" xr:uid="{5AE1B9A4-D694-4C5D-B2C5-650B810D76DA}">
      <text>
        <r>
          <rPr>
            <sz val="9"/>
            <color indexed="81"/>
            <rFont val="Tahoma"/>
            <family val="2"/>
          </rPr>
          <t>Page 57 of PDF, 10-K</t>
        </r>
      </text>
    </comment>
    <comment ref="J25" authorId="3" shapeId="0" xr:uid="{B8C4123F-AD2C-46D9-834D-3D42F31269B9}">
      <text>
        <r>
          <rPr>
            <sz val="9"/>
            <color indexed="81"/>
            <rFont val="Tahoma"/>
            <family val="2"/>
          </rPr>
          <t>Page 57 of PDF,  10-K</t>
        </r>
      </text>
    </comment>
    <comment ref="H26" authorId="3" shapeId="0" xr:uid="{EE16E0A4-5DDC-4C5F-A41B-C098D20A7928}">
      <text>
        <r>
          <rPr>
            <sz val="9"/>
            <color indexed="81"/>
            <rFont val="Tahoma"/>
            <family val="2"/>
          </rPr>
          <t>Page 71 of PDF, 10-K</t>
        </r>
      </text>
    </comment>
    <comment ref="J26" authorId="3" shapeId="0" xr:uid="{70AD67B7-9A1F-43E2-A51F-25183AE0E8BE}">
      <text>
        <r>
          <rPr>
            <sz val="9"/>
            <color indexed="81"/>
            <rFont val="Tahoma"/>
            <family val="2"/>
          </rPr>
          <t>Page 71 of PDF, 10-K</t>
        </r>
      </text>
    </comment>
    <comment ref="H27" authorId="3" shapeId="0" xr:uid="{90DC960A-E0EA-4483-ACB2-F51EE5EDA255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J27" authorId="3" shapeId="0" xr:uid="{38B14E87-F747-44BD-A41F-79BCD9824A85}">
      <text>
        <r>
          <rPr>
            <sz val="9"/>
            <color indexed="81"/>
            <rFont val="Tahoma"/>
            <family val="2"/>
          </rPr>
          <t>Page 70 of PDF, 10-K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Do not add debt of holding co - only use info for Southwest Gas Corporation &amp; Subsidiaries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28" authorId="1" shapeId="0" xr:uid="{27E219CB-2037-4A43-86CA-6A469314F3BA}">
      <text>
        <r>
          <rPr>
            <b/>
            <sz val="9"/>
            <color indexed="81"/>
            <rFont val="Tahoma"/>
            <family val="2"/>
          </rPr>
          <t>REV4175:</t>
        </r>
        <r>
          <rPr>
            <sz val="9"/>
            <color indexed="81"/>
            <rFont val="Tahoma"/>
            <family val="2"/>
          </rPr>
          <t xml:space="preserve">
Spire Inc. has a Sep 30 year end. The 10-q for quarter ended 12/31/2018 was used.</t>
        </r>
      </text>
    </comment>
    <comment ref="H28" authorId="3" shapeId="0" xr:uid="{15DFB256-3D55-4AA7-8241-9DDEA0DF19F3}">
      <text>
        <r>
          <rPr>
            <sz val="9"/>
            <color indexed="81"/>
            <rFont val="Tahoma"/>
            <family val="2"/>
          </rPr>
          <t>Page 9 of PDF, 10-Q</t>
        </r>
      </text>
    </comment>
    <comment ref="I28" authorId="3" shapeId="0" xr:uid="{894831AF-6BD1-4C68-9B93-5663F483F3E8}">
      <text>
        <r>
          <rPr>
            <sz val="9"/>
            <color indexed="81"/>
            <rFont val="Tahoma"/>
            <family val="2"/>
          </rPr>
          <t>Page 9 of 10-Q</t>
        </r>
      </text>
    </comment>
    <comment ref="J28" authorId="3" shapeId="0" xr:uid="{20D934D4-FC22-4DBD-89A6-1E91D49B626A}">
      <text>
        <r>
          <rPr>
            <sz val="9"/>
            <color indexed="81"/>
            <rFont val="Tahoma"/>
            <family val="2"/>
          </rPr>
          <t>Page 9 of PDF, 10-Q</t>
        </r>
      </text>
    </comment>
    <comment ref="H29" authorId="3" shapeId="0" xr:uid="{0F8B2F13-DDD8-4EA7-B40B-9A525AC2F053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I29" authorId="3" shapeId="0" xr:uid="{555C4096-8770-4813-984F-80D24E36D5C0}">
      <text>
        <r>
          <rPr>
            <b/>
            <sz val="9"/>
            <color indexed="81"/>
            <rFont val="Tahoma"/>
            <family val="2"/>
          </rPr>
          <t>Page 162 of PDF, 10-K</t>
        </r>
      </text>
    </comment>
    <comment ref="J29" authorId="3" shapeId="0" xr:uid="{0F5B9513-52E8-4CFA-8488-1B5054213D7C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D35" authorId="0" shapeId="0" xr:uid="{EDA04DAA-5F40-4AF2-9EB8-DDEEDA99322D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Formula: Common Stock Shares Outstanding * 12/31 Stock Price</t>
        </r>
      </text>
    </comment>
    <comment ref="F35" authorId="0" shapeId="0" xr:uid="{682AC252-A51C-4C53-A9B0-F579E40B5A79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Long-Term Debt * (Fair Value of Long-term debt)/(Carrying amount of Long-term debt)</t>
        </r>
      </text>
    </comment>
    <comment ref="F39" authorId="4" shapeId="0" xr:uid="{324EF07D-1D03-41DB-88D4-F8425F91B59C}">
      <text>
        <r>
          <rPr>
            <sz val="9"/>
            <color indexed="81"/>
            <rFont val="Tahoma"/>
            <family val="2"/>
          </rPr>
          <t xml:space="preserve">Page 30 of PDF, 10-Q
</t>
        </r>
      </text>
    </comment>
    <comment ref="F40" authorId="4" shapeId="0" xr:uid="{B26BF6A9-EF62-424F-BBEC-F5B6C9B5AEB7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F41" authorId="4" shapeId="0" xr:uid="{980E7484-12CD-43BD-9636-D434035C893A}">
      <text>
        <r>
          <rPr>
            <sz val="9"/>
            <color indexed="81"/>
            <rFont val="Tahoma"/>
            <family val="2"/>
          </rPr>
          <t>Page 152, 10-K</t>
        </r>
      </text>
    </comment>
    <comment ref="F42" authorId="4" shapeId="0" xr:uid="{01A290B7-606E-4ED9-B702-022088FB9A3C}">
      <text>
        <r>
          <rPr>
            <sz val="9"/>
            <color indexed="81"/>
            <rFont val="Tahoma"/>
            <family val="2"/>
          </rPr>
          <t xml:space="preserve">Page 131 of PDF, 10-K
</t>
        </r>
      </text>
    </comment>
    <comment ref="F43" authorId="4" shapeId="0" xr:uid="{3E0FF53E-3AEE-486D-B4F5-1D33ECB80FF9}">
      <text>
        <r>
          <rPr>
            <sz val="9"/>
            <color indexed="81"/>
            <rFont val="Tahoma"/>
            <family val="2"/>
          </rPr>
          <t xml:space="preserve">Page 106 of PDF, 10-K
</t>
        </r>
      </text>
    </comment>
    <comment ref="F44" authorId="3" shapeId="0" xr:uid="{C5BB4230-1FFD-4FC1-B5AA-C6A346966BE4}">
      <text>
        <r>
          <rPr>
            <sz val="9"/>
            <color indexed="81"/>
            <rFont val="Tahoma"/>
            <family val="2"/>
          </rPr>
          <t>Page 26 of PDF, 10-Q</t>
        </r>
      </text>
    </comment>
    <comment ref="F45" authorId="2" shapeId="0" xr:uid="{63C391DD-FD9F-49E3-B6AA-AB1D21EBE8EC}">
      <text>
        <r>
          <rPr>
            <sz val="9"/>
            <color indexed="81"/>
            <rFont val="Tahoma"/>
            <family val="2"/>
          </rPr>
          <t>Page 115 of PDF, 10-K</t>
        </r>
      </text>
    </comment>
    <comment ref="F46" authorId="4" shapeId="0" xr:uid="{85F93F0A-2A75-4A41-A1A4-14DB4721773C}">
      <text>
        <r>
          <rPr>
            <sz val="9"/>
            <color indexed="81"/>
            <rFont val="Tahoma"/>
            <family val="2"/>
          </rPr>
          <t>Page 111 of PDF, 10-K</t>
        </r>
      </text>
    </comment>
    <comment ref="F47" authorId="2" shapeId="0" xr:uid="{DEA1E78E-95CB-4BE2-93AD-EED1065360A6}">
      <text>
        <r>
          <rPr>
            <sz val="9"/>
            <color indexed="81"/>
            <rFont val="Tahoma"/>
            <family val="2"/>
          </rPr>
          <t>Page 73 of PDF, 10-K</t>
        </r>
      </text>
    </comment>
    <comment ref="F48" authorId="4" shapeId="0" xr:uid="{308B639B-DA91-4240-9B2B-0002E4D2C315}">
      <text>
        <r>
          <rPr>
            <b/>
            <sz val="9"/>
            <color indexed="81"/>
            <rFont val="Tahoma"/>
            <family val="2"/>
          </rPr>
          <t>Page 158 of PDF, 10-K</t>
        </r>
      </text>
    </comment>
    <comment ref="F49" authorId="4" shapeId="0" xr:uid="{85F81D4E-D62E-4F8A-836B-6CED3CE9BB64}">
      <text>
        <r>
          <rPr>
            <sz val="9"/>
            <color indexed="81"/>
            <rFont val="Tahoma"/>
            <family val="2"/>
          </rPr>
          <t>Page 99 of PDF, 10-K</t>
        </r>
      </text>
    </comment>
    <comment ref="F50" authorId="4" shapeId="0" xr:uid="{E56AF518-07BA-4513-99AD-729FDFBD610B}">
      <text>
        <r>
          <rPr>
            <sz val="9"/>
            <color indexed="81"/>
            <rFont val="Tahoma"/>
            <family val="2"/>
          </rPr>
          <t>Page 34 of PDF, 10-Q</t>
        </r>
      </text>
    </comment>
    <comment ref="E51" authorId="2" shapeId="0" xr:uid="{ACEF8384-1589-4D65-B0EA-3F1AFC494677}">
      <text>
        <r>
          <rPr>
            <sz val="9"/>
            <color indexed="81"/>
            <rFont val="Tahoma"/>
            <family val="2"/>
          </rPr>
          <t>Page 241 of PDF, 10-K</t>
        </r>
      </text>
    </comment>
    <comment ref="F51" authorId="4" shapeId="0" xr:uid="{71CBD6D2-F085-4050-B1A2-07E0070F907D}">
      <text>
        <r>
          <rPr>
            <b/>
            <sz val="9"/>
            <color indexed="81"/>
            <rFont val="Tahoma"/>
            <family val="2"/>
          </rPr>
          <t xml:space="preserve">Page 241 of PDF, 10-K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REVT221</author>
  </authors>
  <commentList>
    <comment ref="G12" authorId="0" shapeId="0" xr:uid="{258AA619-534D-4173-A877-E13DDF0833A2}">
      <text>
        <r>
          <rPr>
            <sz val="9"/>
            <color indexed="81"/>
            <rFont val="Tahoma"/>
            <family val="2"/>
          </rPr>
          <t>Page 32 of 10-K</t>
        </r>
      </text>
    </comment>
    <comment ref="H12" authorId="0" shapeId="0" xr:uid="{5D9B88F4-1259-4E21-82BD-6449ABB46660}">
      <text>
        <r>
          <rPr>
            <sz val="9"/>
            <color indexed="81"/>
            <rFont val="Tahoma"/>
            <family val="2"/>
          </rPr>
          <t>Page 32 of 10-K</t>
        </r>
      </text>
    </comment>
    <comment ref="G13" authorId="0" shapeId="0" xr:uid="{A2A47F66-EFB9-407E-A12F-4AF1F8F0E00C}">
      <text>
        <r>
          <rPr>
            <sz val="9"/>
            <color indexed="81"/>
            <rFont val="Tahoma"/>
            <family val="2"/>
          </rPr>
          <t>Page 25 of 10-K</t>
        </r>
      </text>
    </comment>
    <comment ref="H13" authorId="0" shapeId="0" xr:uid="{5ECE2833-26A2-4017-BF2F-6892CAE0869A}">
      <text>
        <r>
          <rPr>
            <sz val="9"/>
            <color indexed="81"/>
            <rFont val="Tahoma"/>
            <family val="2"/>
          </rPr>
          <t>Page 25 of 10-K</t>
        </r>
      </text>
    </comment>
    <comment ref="G14" authorId="0" shapeId="0" xr:uid="{E45FE9DC-0669-4409-8E97-8640DAC46FDB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H14" authorId="0" shapeId="0" xr:uid="{E1F167AB-164B-4795-9905-E487CAA83B31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E16" authorId="0" shapeId="0" xr:uid="{7F6205A2-28EB-4FF4-B0DB-EED836303FFF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16.5% in 2020, big change</t>
        </r>
      </text>
    </comment>
    <comment ref="H16" authorId="0" shapeId="0" xr:uid="{D35070E6-4D31-4F09-BDC4-A3B17E221215}">
      <text>
        <r>
          <rPr>
            <sz val="9"/>
            <color indexed="81"/>
            <rFont val="Tahoma"/>
            <family val="2"/>
          </rPr>
          <t>Pulled from Utah study</t>
        </r>
      </text>
    </comment>
    <comment ref="H17" authorId="0" shapeId="0" xr:uid="{A8C1D1C0-8A71-41D7-BECA-E06B0BAB132F}">
      <text>
        <r>
          <rPr>
            <sz val="9"/>
            <color indexed="81"/>
            <rFont val="Tahoma"/>
            <family val="2"/>
          </rPr>
          <t>Page 66 of PDF, 10-Q</t>
        </r>
      </text>
    </comment>
    <comment ref="G18" authorId="0" shapeId="0" xr:uid="{0C9B86A8-3DB3-454E-BA85-2B6358AEC019}">
      <text>
        <r>
          <rPr>
            <sz val="9"/>
            <color indexed="81"/>
            <rFont val="Tahoma"/>
            <family val="2"/>
          </rPr>
          <t>Page 50 of PDF, 10-K</t>
        </r>
      </text>
    </comment>
    <comment ref="H18" authorId="0" shapeId="0" xr:uid="{DD042BE1-82A5-4CAC-ADD3-8D6D1D0CC49E}">
      <text>
        <r>
          <rPr>
            <sz val="9"/>
            <color indexed="81"/>
            <rFont val="Tahoma"/>
            <family val="2"/>
          </rPr>
          <t>Page 50 of PDF, 10-K</t>
        </r>
      </text>
    </comment>
    <comment ref="G19" authorId="0" shapeId="0" xr:uid="{BD43A193-2315-4008-8E4B-5F735C38C1DA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H19" authorId="1" shapeId="0" xr:uid="{6E929E89-FC39-430E-8776-1BE8723A75A7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G20" authorId="0" shapeId="0" xr:uid="{4BE4786D-9D8F-4F34-80DD-AA10AF148DAF}">
      <text>
        <r>
          <rPr>
            <sz val="9"/>
            <color indexed="81"/>
            <rFont val="Tahoma"/>
            <family val="2"/>
          </rPr>
          <t>Page 38 of PDF, 10-K</t>
        </r>
      </text>
    </comment>
    <comment ref="H20" authorId="0" shapeId="0" xr:uid="{1338FAE3-3C1B-4371-950B-4AD39C942171}">
      <text>
        <r>
          <rPr>
            <sz val="9"/>
            <color indexed="81"/>
            <rFont val="Tahoma"/>
            <family val="2"/>
          </rPr>
          <t>Page 38 of PDF, 10-K</t>
        </r>
      </text>
    </comment>
    <comment ref="G21" authorId="0" shapeId="0" xr:uid="{F31C5E2C-FF4B-4780-B75A-DFAFA589F73F}">
      <text>
        <r>
          <rPr>
            <sz val="9"/>
            <color indexed="81"/>
            <rFont val="Tahoma"/>
            <family val="2"/>
          </rPr>
          <t>Page 58 of 10-K</t>
        </r>
      </text>
    </comment>
    <comment ref="H21" authorId="0" shapeId="0" xr:uid="{744BA315-DDEF-47CE-81B7-AED24462E09A}">
      <text>
        <r>
          <rPr>
            <sz val="9"/>
            <color indexed="81"/>
            <rFont val="Tahoma"/>
            <family val="2"/>
          </rPr>
          <t>Page 58 of 10-K</t>
        </r>
      </text>
    </comment>
    <comment ref="H22" authorId="0" shapeId="0" xr:uid="{8987425F-15F3-4CE9-9BFD-8277CF6542B4}">
      <text>
        <r>
          <rPr>
            <sz val="9"/>
            <color indexed="81"/>
            <rFont val="Tahoma"/>
            <family val="2"/>
          </rPr>
          <t>Pulled from Utah study</t>
        </r>
      </text>
    </comment>
    <comment ref="G23" authorId="0" shapeId="0" xr:uid="{7A45CA99-528D-43C4-8F1E-673D77A834AE}">
      <text>
        <r>
          <rPr>
            <sz val="9"/>
            <color indexed="81"/>
            <rFont val="Tahoma"/>
            <family val="2"/>
          </rPr>
          <t>Page 54 of 10-Q</t>
        </r>
      </text>
    </comment>
    <comment ref="H23" authorId="0" shapeId="0" xr:uid="{9A479FD8-338A-4565-8546-8DBFFCA40E63}">
      <text>
        <r>
          <rPr>
            <sz val="9"/>
            <color indexed="81"/>
            <rFont val="Tahoma"/>
            <family val="2"/>
          </rPr>
          <t>Page 54 of 10-Q</t>
        </r>
      </text>
    </comment>
    <comment ref="H24" authorId="0" shapeId="0" xr:uid="{95B9C299-FB2C-4B3A-9D6A-B5679BE71B72}">
      <text>
        <r>
          <rPr>
            <sz val="9"/>
            <color indexed="81"/>
            <rFont val="Tahoma"/>
            <family val="2"/>
          </rPr>
          <t>Page 111 of Mergent Bond Book (PDF Version)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REVT221</author>
    <author>K Reaves</author>
    <author>rev4440</author>
    <author>rev3857</author>
  </authors>
  <commentList>
    <comment ref="H17" authorId="0" shapeId="0" xr:uid="{DBE9B2CF-8809-4AA5-BF6B-C360976BD96B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I17" authorId="1" shapeId="0" xr:uid="{A1DCCC83-406D-4005-93FB-BF1F553ADCDD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J17" authorId="0" shapeId="0" xr:uid="{EF98C658-61AC-4991-8374-772B2B9D5D78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H18" authorId="1" shapeId="0" xr:uid="{1D8EADCE-17D2-4985-9EF1-9503F81B6F7C}">
      <text>
        <r>
          <rPr>
            <sz val="9"/>
            <color indexed="81"/>
            <rFont val="Tahoma"/>
            <family val="2"/>
          </rPr>
          <t>Page 101 of PDF, 10-K</t>
        </r>
      </text>
    </comment>
    <comment ref="I18" authorId="2" shapeId="0" xr:uid="{A09887BB-A069-4244-B06C-7B26AB86DE14}">
      <text>
        <r>
          <rPr>
            <sz val="9"/>
            <color indexed="81"/>
            <rFont val="Tahoma"/>
            <family val="2"/>
          </rPr>
          <t>Page 101 of PDF, 10-K
0.79111 is CAD to USD Conversion on 12/30/21</t>
        </r>
      </text>
    </comment>
    <comment ref="J18" authorId="2" shapeId="0" xr:uid="{E2FBFC6F-27E8-4EBD-A23B-48585DF9E935}">
      <text>
        <r>
          <rPr>
            <sz val="9"/>
            <color indexed="81"/>
            <rFont val="Tahoma"/>
            <family val="2"/>
          </rPr>
          <t>Page 101 of PDF, 10-K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0.79111 is CAD to USD Conversion on 12/30/21</t>
        </r>
      </text>
    </comment>
    <comment ref="H19" authorId="1" shapeId="0" xr:uid="{FD8A5EB1-A5B2-4D21-9766-E55E4D06405A}">
      <text>
        <r>
          <rPr>
            <sz val="9"/>
            <color indexed="81"/>
            <rFont val="Tahoma"/>
            <family val="2"/>
          </rPr>
          <t>Page 180 of PDF, 10-K</t>
        </r>
      </text>
    </comment>
    <comment ref="I19" authorId="1" shapeId="0" xr:uid="{90143D8E-A6D8-4C1D-8E47-6E51D8E3DF9C}">
      <text>
        <r>
          <rPr>
            <sz val="9"/>
            <color indexed="81"/>
            <rFont val="Tahoma"/>
            <family val="2"/>
          </rPr>
          <t>Page 180 of 10-K</t>
        </r>
      </text>
    </comment>
    <comment ref="J19" authorId="1" shapeId="0" xr:uid="{3422B4C1-A67B-44FE-852D-EBDDE2087235}">
      <text>
        <r>
          <rPr>
            <sz val="9"/>
            <color indexed="81"/>
            <rFont val="Tahoma"/>
            <family val="2"/>
          </rPr>
          <t>Page 180 of PDF, 10-K</t>
        </r>
      </text>
    </comment>
    <comment ref="H20" authorId="1" shapeId="0" xr:uid="{2FE799B6-82F6-42FB-B777-4914479F2957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I20" authorId="0" shapeId="0" xr:uid="{0CD3758D-6C72-4DD4-A45C-8B22F2DF53AE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J20" authorId="0" shapeId="0" xr:uid="{AEE97533-4C71-48E5-BCAC-B814EDD9C1BD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H21" authorId="0" shapeId="0" xr:uid="{90FC3C58-BC63-4EE0-BF3C-E76DCB6DB422}">
      <text>
        <r>
          <rPr>
            <sz val="9"/>
            <color indexed="81"/>
            <rFont val="Tahoma"/>
            <family val="2"/>
          </rPr>
          <t>Page 136 of PDF, 10-K</t>
        </r>
      </text>
    </comment>
    <comment ref="J21" authorId="0" shapeId="0" xr:uid="{67905B62-F455-4B72-8AD1-39251553AA38}">
      <text>
        <r>
          <rPr>
            <sz val="9"/>
            <color indexed="81"/>
            <rFont val="Tahoma"/>
            <family val="2"/>
          </rPr>
          <t xml:space="preserve">Page 136 of PDF, 10-K
</t>
        </r>
      </text>
    </comment>
    <comment ref="H22" authorId="1" shapeId="0" xr:uid="{4907B54F-72F7-4703-BCD2-2493AB5E53FE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78 of PDF, 10-K</t>
        </r>
      </text>
    </comment>
    <comment ref="J22" authorId="1" shapeId="0" xr:uid="{EB2D30D2-311B-404A-ADCA-D04522B86546}">
      <text>
        <r>
          <rPr>
            <sz val="9"/>
            <color indexed="81"/>
            <rFont val="Tahoma"/>
            <family val="2"/>
          </rPr>
          <t>Page 78 of PDF, 10-K</t>
        </r>
      </text>
    </comment>
    <comment ref="H23" authorId="1" shapeId="0" xr:uid="{16988B1F-EFCE-4457-86CA-8F6565E667B4}">
      <text>
        <r>
          <rPr>
            <sz val="9"/>
            <color indexed="81"/>
            <rFont val="Tahoma"/>
            <family val="2"/>
          </rPr>
          <t>Page 59 of PDF, 10-K</t>
        </r>
      </text>
    </comment>
    <comment ref="J23" authorId="1" shapeId="0" xr:uid="{77504DF8-1C71-493C-91DA-9C97D15A97E9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59 of PDF, 10-K
</t>
        </r>
      </text>
    </comment>
    <comment ref="H24" authorId="1" shapeId="0" xr:uid="{E25E49C3-3099-4075-BA65-8079EA737BB7}">
      <text>
        <r>
          <rPr>
            <sz val="9"/>
            <color indexed="81"/>
            <rFont val="Tahoma"/>
            <family val="2"/>
          </rPr>
          <t>Page 1 of PDF, 40F</t>
        </r>
      </text>
    </comment>
    <comment ref="I24" authorId="0" shapeId="0" xr:uid="{1B1EED6C-61C7-4BB5-AD3D-80D7D63EABD4}">
      <text>
        <r>
          <rPr>
            <sz val="9"/>
            <color indexed="81"/>
            <rFont val="Tahoma"/>
            <family val="2"/>
          </rPr>
          <t>Page 1-2 of PDF, 40F
0.79111 is CAD to USD Conversion on 12/30/20</t>
        </r>
      </text>
    </comment>
    <comment ref="J24" authorId="1" shapeId="0" xr:uid="{F376D175-A10D-4660-8D11-67B54C294147}">
      <text>
        <r>
          <rPr>
            <sz val="9"/>
            <color indexed="81"/>
            <rFont val="Tahoma"/>
            <family val="2"/>
          </rPr>
          <t>Page 81 of PDF, Annual Report
0.79111 is CAD to USD Conversion on 12/30/20</t>
        </r>
      </text>
    </comment>
    <comment ref="H25" authorId="2" shapeId="0" xr:uid="{E04E1024-FFEF-48B9-987F-E1D6999B0B8B}">
      <text>
        <r>
          <rPr>
            <sz val="9"/>
            <color indexed="81"/>
            <rFont val="Tahoma"/>
            <family val="2"/>
          </rPr>
          <t>Page 72 of PDF, 10-K</t>
        </r>
      </text>
    </comment>
    <comment ref="I25" authorId="2" shapeId="0" xr:uid="{97D096FB-796A-4FD7-B263-DCACC6563918}">
      <text>
        <r>
          <rPr>
            <sz val="9"/>
            <color indexed="81"/>
            <rFont val="Tahoma"/>
            <family val="2"/>
          </rPr>
          <t>Page 72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5" authorId="2" shapeId="0" xr:uid="{961BC144-9DF0-4F22-8E77-BB680912A823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F30" authorId="1" shapeId="0" xr:uid="{ED1C20E2-7578-4C4A-8DB5-9CCC002E3449}">
      <text>
        <r>
          <rPr>
            <sz val="9"/>
            <color indexed="81"/>
            <rFont val="Tahoma"/>
            <family val="2"/>
          </rPr>
          <t>Long-Term Debt * (Fair Value of Long-term debt)/(Carrying amount of Long-term debt)</t>
        </r>
      </text>
    </comment>
    <comment ref="F34" authorId="0" shapeId="0" xr:uid="{286D39F8-08FB-4CDD-A593-C17C2B0E6C72}">
      <text>
        <r>
          <rPr>
            <sz val="9"/>
            <color indexed="81"/>
            <rFont val="Tahoma"/>
            <family val="2"/>
          </rPr>
          <t>Page 122 of PDF, 10-K</t>
        </r>
      </text>
    </comment>
    <comment ref="F35" authorId="3" shapeId="0" xr:uid="{BB9A1F66-BFA0-4160-AAD4-22A67631C342}">
      <text>
        <r>
          <rPr>
            <sz val="9"/>
            <color indexed="81"/>
            <rFont val="Tahoma"/>
            <family val="2"/>
          </rPr>
          <t>Page 206 of PDF, 10-K</t>
        </r>
      </text>
    </comment>
    <comment ref="F36" authorId="0" shapeId="0" xr:uid="{3A30964C-D84E-4198-BE7E-FDFDFD35AC18}">
      <text>
        <r>
          <rPr>
            <sz val="9"/>
            <color indexed="81"/>
            <rFont val="Tahoma"/>
            <family val="2"/>
          </rPr>
          <t>Page 299 of PDF, 10-K</t>
        </r>
      </text>
    </comment>
    <comment ref="F37" authorId="0" shapeId="0" xr:uid="{BDAA6626-600D-4468-A88F-542EC9D4B8F9}">
      <text>
        <r>
          <rPr>
            <sz val="9"/>
            <color indexed="81"/>
            <rFont val="Tahoma"/>
            <family val="2"/>
          </rPr>
          <t>Page 243 of PDF, 10-K</t>
        </r>
      </text>
    </comment>
    <comment ref="F38" authorId="0" shapeId="0" xr:uid="{4D53043E-52C0-4303-A1A6-B96E83132F4C}">
      <text>
        <r>
          <rPr>
            <sz val="9"/>
            <color indexed="81"/>
            <rFont val="Tahoma"/>
            <family val="2"/>
          </rPr>
          <t>Page 230 of PDF, 10-K</t>
        </r>
      </text>
    </comment>
    <comment ref="F39" authorId="0" shapeId="0" xr:uid="{5FB33B64-9B0F-46FC-8493-E8B64A40F39C}">
      <text>
        <r>
          <rPr>
            <sz val="9"/>
            <color indexed="81"/>
            <rFont val="Tahoma"/>
            <family val="2"/>
          </rPr>
          <t>Page 181 of PDF, 10-K</t>
        </r>
      </text>
    </comment>
    <comment ref="F40" authorId="0" shapeId="0" xr:uid="{C3159A2C-B427-417F-A5EF-6996F961BDA8}">
      <text>
        <r>
          <rPr>
            <sz val="9"/>
            <color indexed="81"/>
            <rFont val="Tahoma"/>
            <family val="2"/>
          </rPr>
          <t>Page 136 of PDF, 10-K</t>
        </r>
      </text>
    </comment>
    <comment ref="F41" authorId="1" shapeId="0" xr:uid="{EC2E7F34-CBAB-4A11-8309-05DAD5529B76}">
      <text>
        <r>
          <rPr>
            <sz val="9"/>
            <color indexed="81"/>
            <rFont val="Tahoma"/>
            <family val="2"/>
          </rPr>
          <t>Page 179 of PDF, 10-K</t>
        </r>
      </text>
    </comment>
    <comment ref="F42" authorId="1" shapeId="0" xr:uid="{78E25653-72B2-425F-ADF1-45274908FE1F}">
      <text>
        <r>
          <rPr>
            <sz val="9"/>
            <color indexed="81"/>
            <rFont val="Tahoma"/>
            <family val="2"/>
          </rPr>
          <t>Page 119 of PDF, 10-K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E13" authorId="0" shapeId="0" xr:uid="{4348CA3F-1878-43D7-9C5F-30650CA8BF65}">
      <text>
        <r>
          <rPr>
            <sz val="9"/>
            <color indexed="81"/>
            <rFont val="Tahoma"/>
            <family val="2"/>
          </rPr>
          <t>NMF on VL</t>
        </r>
      </text>
    </comment>
    <comment ref="E14" authorId="0" shapeId="0" xr:uid="{9041611D-7E26-4E43-9C34-F00D021ECCF1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Nil on VL</t>
        </r>
      </text>
    </comment>
    <comment ref="G14" authorId="0" shapeId="0" xr:uid="{A22BE7D6-1EE9-4742-A6EF-12E4D9CFF6DD}">
      <text>
        <r>
          <rPr>
            <sz val="9"/>
            <color indexed="81"/>
            <rFont val="Tahoma"/>
            <family val="2"/>
          </rPr>
          <t>Page 43 of 10-K</t>
        </r>
      </text>
    </comment>
    <comment ref="H14" authorId="0" shapeId="0" xr:uid="{3A860571-6ACA-4B03-9BE0-75EBDBFD495A}">
      <text>
        <r>
          <rPr>
            <sz val="9"/>
            <color indexed="81"/>
            <rFont val="Tahoma"/>
            <family val="2"/>
          </rPr>
          <t>Page 43 of 10-K</t>
        </r>
      </text>
    </comment>
    <comment ref="G15" authorId="0" shapeId="0" xr:uid="{101E1240-927E-4F66-ABBC-4569C80F2414}">
      <text>
        <r>
          <rPr>
            <sz val="9"/>
            <color indexed="81"/>
            <rFont val="Tahoma"/>
            <family val="2"/>
          </rPr>
          <t>Page 62 of 10-K</t>
        </r>
      </text>
    </comment>
    <comment ref="H15" authorId="0" shapeId="0" xr:uid="{A24C2229-E841-4B1A-8B50-391A876EE0F6}">
      <text>
        <r>
          <rPr>
            <sz val="9"/>
            <color indexed="81"/>
            <rFont val="Tahoma"/>
            <family val="2"/>
          </rPr>
          <t>Page 62 of 10-K</t>
        </r>
      </text>
    </comment>
    <comment ref="G17" authorId="0" shapeId="0" xr:uid="{36A6799C-AEA2-4045-BD2B-73A0CB1CF9B4}">
      <text>
        <r>
          <rPr>
            <sz val="9"/>
            <color indexed="81"/>
            <rFont val="Tahoma"/>
            <family val="2"/>
          </rPr>
          <t>Page 30 of 10-K</t>
        </r>
      </text>
    </comment>
    <comment ref="H17" authorId="0" shapeId="0" xr:uid="{E6FE43A9-52EB-45A7-89E9-6BCFC20496F0}">
      <text>
        <r>
          <rPr>
            <sz val="9"/>
            <color indexed="81"/>
            <rFont val="Tahoma"/>
            <family val="2"/>
          </rPr>
          <t>Page 30 of 10-K</t>
        </r>
      </text>
    </comment>
    <comment ref="G19" authorId="0" shapeId="0" xr:uid="{0C33F02A-EBF4-4719-A853-62BA850196A2}">
      <text>
        <r>
          <rPr>
            <sz val="9"/>
            <color indexed="81"/>
            <rFont val="Tahoma"/>
            <family val="2"/>
          </rPr>
          <t>Page 62 of 10-K</t>
        </r>
      </text>
    </comment>
    <comment ref="H19" authorId="0" shapeId="0" xr:uid="{AFF7D881-813F-4E41-8DE1-F4BC9615246F}">
      <text>
        <r>
          <rPr>
            <sz val="9"/>
            <color indexed="81"/>
            <rFont val="Tahoma"/>
            <family val="2"/>
          </rPr>
          <t>Page 62 of 10-K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REVT221</author>
    <author>K Reaves</author>
    <author>rev4440</author>
  </authors>
  <commentList>
    <comment ref="H15" authorId="0" shapeId="0" xr:uid="{64D1311E-6F42-4AF7-8056-6FEE44F03AB4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I15" authorId="1" shapeId="0" xr:uid="{112E7412-B1FD-44BB-9365-B45A1118E6A8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J15" authorId="0" shapeId="0" xr:uid="{CA6B6F09-80AB-4DF6-885B-ADD5B4BB38C1}">
      <text>
        <r>
          <rPr>
            <sz val="9"/>
            <color indexed="81"/>
            <rFont val="Tahoma"/>
            <family val="2"/>
          </rPr>
          <t>Page 97 &amp; 125  of PDF, 10-K</t>
        </r>
      </text>
    </comment>
    <comment ref="H16" authorId="1" shapeId="0" xr:uid="{03CFDD16-6114-4C8F-AE0C-F2CC7BE49A96}">
      <text>
        <r>
          <rPr>
            <sz val="9"/>
            <color indexed="81"/>
            <rFont val="Tahoma"/>
            <family val="2"/>
          </rPr>
          <t>Page 180 of PDF, 10-K</t>
        </r>
      </text>
    </comment>
    <comment ref="I16" authorId="1" shapeId="0" xr:uid="{25CABB6B-007A-4902-B04D-65AEEBFF4C7A}">
      <text>
        <r>
          <rPr>
            <sz val="9"/>
            <color indexed="81"/>
            <rFont val="Tahoma"/>
            <family val="2"/>
          </rPr>
          <t>Page 180 of 10-K</t>
        </r>
      </text>
    </comment>
    <comment ref="J16" authorId="1" shapeId="0" xr:uid="{532155B6-1CC4-4264-A93D-16DD041BBEEB}">
      <text>
        <r>
          <rPr>
            <sz val="9"/>
            <color indexed="81"/>
            <rFont val="Tahoma"/>
            <family val="2"/>
          </rPr>
          <t>Page 180 of PDF, 10-K</t>
        </r>
      </text>
    </comment>
    <comment ref="H17" authorId="0" shapeId="0" xr:uid="{EAEFD847-5EDC-43F9-A937-6B41E9939F7A}">
      <text>
        <r>
          <rPr>
            <sz val="9"/>
            <color indexed="81"/>
            <rFont val="Tahoma"/>
            <family val="2"/>
          </rPr>
          <t>Page 136 of PDF, 10-K</t>
        </r>
      </text>
    </comment>
    <comment ref="J17" authorId="0" shapeId="0" xr:uid="{7ACEA1E0-B6EA-4B37-8255-042106C0BAD1}">
      <text>
        <r>
          <rPr>
            <sz val="9"/>
            <color indexed="81"/>
            <rFont val="Tahoma"/>
            <family val="2"/>
          </rPr>
          <t xml:space="preserve">Page 136 of PDF, 10-K
</t>
        </r>
      </text>
    </comment>
    <comment ref="H18" authorId="0" shapeId="0" xr:uid="{A0474306-D207-4364-B494-550EDDFBFE06}">
      <text>
        <r>
          <rPr>
            <sz val="9"/>
            <color indexed="81"/>
            <rFont val="Tahoma"/>
            <family val="2"/>
          </rPr>
          <t>Page 78 of PDF, 10-K</t>
        </r>
      </text>
    </comment>
    <comment ref="I18" authorId="2" shapeId="0" xr:uid="{CF3BF40F-C91C-4CD5-967C-C9AED10CB58C}">
      <text>
        <r>
          <rPr>
            <sz val="9"/>
            <color indexed="81"/>
            <rFont val="Tahoma"/>
            <family val="2"/>
          </rPr>
          <t>Page 78 of PDF, 10-K</t>
        </r>
      </text>
    </comment>
    <comment ref="J18" authorId="0" shapeId="0" xr:uid="{20A7E98B-94A1-406F-99C8-91392E001B6D}">
      <text>
        <r>
          <rPr>
            <sz val="9"/>
            <color indexed="81"/>
            <rFont val="Tahoma"/>
            <family val="2"/>
          </rPr>
          <t>Page 78 of PDF, 10-K</t>
        </r>
      </text>
    </comment>
    <comment ref="H19" authorId="2" shapeId="0" xr:uid="{C271800F-B425-4517-84D3-841A03598AE7}">
      <text>
        <r>
          <rPr>
            <sz val="9"/>
            <color indexed="81"/>
            <rFont val="Tahoma"/>
            <family val="2"/>
          </rPr>
          <t>Page 77 of PDF, 10-K</t>
        </r>
      </text>
    </comment>
    <comment ref="J19" authorId="0" shapeId="0" xr:uid="{9C0D77F5-6CAE-432A-A579-DFAB84D61A37}">
      <text>
        <r>
          <rPr>
            <sz val="9"/>
            <color indexed="81"/>
            <rFont val="Tahoma"/>
            <family val="2"/>
          </rPr>
          <t>Page 77 of PDF, 10-K</t>
        </r>
      </text>
    </comment>
    <comment ref="H20" authorId="2" shapeId="0" xr:uid="{4F316E60-9DB1-453E-BFBA-1042148BC503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I20" authorId="2" shapeId="0" xr:uid="{232C88BB-E74A-4CBD-BBC9-4BB92B8B5712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J20" authorId="2" shapeId="0" xr:uid="{E1A25CEB-10BE-4A4E-AE80-BD2F979FFCC0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H21" authorId="2" shapeId="0" xr:uid="{98FF750C-2A6B-4287-92C8-2ECC013511E5}">
      <text>
        <r>
          <rPr>
            <sz val="9"/>
            <color indexed="81"/>
            <rFont val="Tahoma"/>
            <family val="2"/>
          </rPr>
          <t>Page 56 of PDF, 10-K</t>
        </r>
      </text>
    </comment>
    <comment ref="I21" authorId="2" shapeId="0" xr:uid="{971F04AA-F9F9-42F4-AA5F-86901121E7A4}">
      <text>
        <r>
          <rPr>
            <sz val="9"/>
            <color indexed="81"/>
            <rFont val="Tahoma"/>
            <family val="2"/>
          </rPr>
          <t>Page 56 of PDF, 10-K</t>
        </r>
      </text>
    </comment>
    <comment ref="J21" authorId="2" shapeId="0" xr:uid="{E7CC83B3-9655-4097-A230-8A35BDE9129A}">
      <text>
        <r>
          <rPr>
            <sz val="9"/>
            <color indexed="81"/>
            <rFont val="Tahoma"/>
            <family val="2"/>
          </rPr>
          <t>Page 56 of PDF, 10-K</t>
        </r>
      </text>
    </comment>
    <comment ref="H22" authorId="2" shapeId="0" xr:uid="{BC5D8138-B885-4426-83EB-323907383635}">
      <text>
        <r>
          <rPr>
            <sz val="9"/>
            <color indexed="81"/>
            <rFont val="Tahoma"/>
            <family val="2"/>
          </rPr>
          <t>Page 92 of PDF, 10-K</t>
        </r>
      </text>
    </comment>
    <comment ref="I22" authorId="2" shapeId="0" xr:uid="{58D96422-E607-4A26-87A2-7143D06C97F4}">
      <text>
        <r>
          <rPr>
            <sz val="9"/>
            <color indexed="81"/>
            <rFont val="Tahoma"/>
            <family val="2"/>
          </rPr>
          <t>Page 92 of PDF, 10-K</t>
        </r>
      </text>
    </comment>
    <comment ref="J22" authorId="2" shapeId="0" xr:uid="{F00CFA93-D7C1-416F-B950-496388B32E62}">
      <text>
        <r>
          <rPr>
            <sz val="9"/>
            <color indexed="81"/>
            <rFont val="Tahoma"/>
            <family val="2"/>
          </rPr>
          <t>Page 92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23" authorId="2" shapeId="0" xr:uid="{2B8A8C81-D3B9-4CBA-A8F3-102A440D676C}">
      <text>
        <r>
          <rPr>
            <sz val="9"/>
            <color indexed="81"/>
            <rFont val="Tahoma"/>
            <family val="2"/>
          </rPr>
          <t>Page 118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23" authorId="2" shapeId="0" xr:uid="{BEBBB30E-72BC-44DC-BD72-0429B53F8765}">
      <text>
        <r>
          <rPr>
            <sz val="9"/>
            <color indexed="81"/>
            <rFont val="Tahoma"/>
            <family val="2"/>
          </rPr>
          <t>Page 118 of PDF, 10-K</t>
        </r>
      </text>
    </comment>
    <comment ref="J23" authorId="2" shapeId="0" xr:uid="{45E48178-554A-4698-9222-4E52F5378D8B}">
      <text>
        <r>
          <rPr>
            <sz val="9"/>
            <color indexed="81"/>
            <rFont val="Tahoma"/>
            <family val="2"/>
          </rPr>
          <t>Page 118 of PDF, 10-K</t>
        </r>
      </text>
    </comment>
    <comment ref="F30" authorId="0" shapeId="0" xr:uid="{30DA048A-CA53-4C09-A619-806E6F79AA8E}">
      <text>
        <r>
          <rPr>
            <sz val="9"/>
            <color indexed="81"/>
            <rFont val="Tahoma"/>
            <family val="2"/>
          </rPr>
          <t>Page 125 of PDF, 10-K</t>
        </r>
      </text>
    </comment>
    <comment ref="F31" authorId="0" shapeId="0" xr:uid="{45A23313-B807-48AD-BC7F-33BC69FD1D2E}">
      <text>
        <r>
          <rPr>
            <sz val="9"/>
            <color indexed="81"/>
            <rFont val="Tahoma"/>
            <family val="2"/>
          </rPr>
          <t>Page 299 of PDF, 10-K</t>
        </r>
      </text>
    </comment>
    <comment ref="F32" authorId="0" shapeId="0" xr:uid="{3B5DCFBA-AC13-4147-9328-3D6C0F21C58E}">
      <text>
        <r>
          <rPr>
            <sz val="9"/>
            <color indexed="81"/>
            <rFont val="Tahoma"/>
            <family val="2"/>
          </rPr>
          <t>Page 230 of PDF, 10-K</t>
        </r>
      </text>
    </comment>
    <comment ref="F33" authorId="0" shapeId="0" xr:uid="{813BFCF9-5C78-45DB-9252-CB7FDE7C7CD7}">
      <text>
        <r>
          <rPr>
            <sz val="9"/>
            <color indexed="81"/>
            <rFont val="Tahoma"/>
            <family val="2"/>
          </rPr>
          <t>Page 148 of PDF, 10-K</t>
        </r>
      </text>
    </comment>
    <comment ref="F34" authorId="0" shapeId="0" xr:uid="{B6FC2692-7B36-4646-B1B6-2931A25C7718}">
      <text>
        <r>
          <rPr>
            <sz val="9"/>
            <color indexed="81"/>
            <rFont val="Tahoma"/>
            <family val="2"/>
          </rPr>
          <t>Page 126 of 10-K</t>
        </r>
      </text>
    </comment>
    <comment ref="F35" authorId="0" shapeId="0" xr:uid="{B026B1B9-B166-4DF5-BEEE-53F69F0736BD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10K page 153 &amp; 151</t>
        </r>
      </text>
    </comment>
    <comment ref="F36" authorId="0" shapeId="0" xr:uid="{44C8534D-58A4-47D0-951B-00C073EB7268}">
      <text>
        <r>
          <rPr>
            <sz val="9"/>
            <color indexed="81"/>
            <rFont val="Tahoma"/>
            <family val="2"/>
          </rPr>
          <t xml:space="preserve">Page 84 of PDF, 10-K
</t>
        </r>
      </text>
    </comment>
    <comment ref="F37" authorId="2" shapeId="0" xr:uid="{B933E25C-13DE-4B4C-9842-0A37F0299412}">
      <text>
        <r>
          <rPr>
            <sz val="9"/>
            <color indexed="81"/>
            <rFont val="Tahoma"/>
            <family val="2"/>
          </rPr>
          <t>Page 119 of PDF, 10-K</t>
        </r>
      </text>
    </comment>
    <comment ref="F38" authorId="0" shapeId="0" xr:uid="{9424EA96-9B22-4F79-9C46-F60DB23B3FCC}">
      <text>
        <r>
          <rPr>
            <sz val="9"/>
            <color indexed="81"/>
            <rFont val="Tahoma"/>
            <family val="2"/>
          </rPr>
          <t>Page 230 of PDF, 10-K</t>
        </r>
      </text>
    </comment>
    <comment ref="F39" authorId="0" shapeId="0" xr:uid="{D098459D-43CC-4E20-A687-84B4E416A982}">
      <text>
        <r>
          <rPr>
            <sz val="9"/>
            <color indexed="81"/>
            <rFont val="Tahoma"/>
            <family val="2"/>
          </rPr>
          <t>Page 230 of PDF, 10-K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rev3569</author>
  </authors>
  <commentList>
    <comment ref="D16" authorId="0" shapeId="0" xr:uid="{1CC602CD-AEBF-47AC-9DA9-F0E1F3059682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Cash Flow per Share Values are 2023 Project from Valueline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REVT221</author>
  </authors>
  <commentList>
    <comment ref="E11" authorId="0" shapeId="0" xr:uid="{F43AF51B-7339-44C8-910D-E8D661CF317F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on VL</t>
        </r>
      </text>
    </comment>
    <comment ref="E12" authorId="0" shapeId="0" xr:uid="{2DAE7E9D-E65F-4282-B9A2-D454B4D6583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on VL</t>
        </r>
      </text>
    </comment>
    <comment ref="G13" authorId="0" shapeId="0" xr:uid="{59D65BF0-3D34-4923-88FC-6CE789694EE0}">
      <text>
        <r>
          <rPr>
            <sz val="9"/>
            <color indexed="81"/>
            <rFont val="Tahoma"/>
            <family val="2"/>
          </rPr>
          <t>Page 62 of 10-K</t>
        </r>
      </text>
    </comment>
    <comment ref="H13" authorId="0" shapeId="0" xr:uid="{7D6812E9-C3DE-499A-B0E0-1AD010105431}">
      <text>
        <r>
          <rPr>
            <sz val="9"/>
            <color indexed="81"/>
            <rFont val="Tahoma"/>
            <family val="2"/>
          </rPr>
          <t>Page 62 of 10-K</t>
        </r>
      </text>
    </comment>
    <comment ref="H14" authorId="0" shapeId="0" xr:uid="{7CEBAD4D-9BC2-4154-9E4E-D3D0666CD196}">
      <text>
        <r>
          <rPr>
            <sz val="9"/>
            <color indexed="81"/>
            <rFont val="Tahoma"/>
            <family val="2"/>
          </rPr>
          <t xml:space="preserve">Pulled from Utah study
</t>
        </r>
      </text>
    </comment>
    <comment ref="H15" authorId="0" shapeId="0" xr:uid="{55051584-005D-4A89-8FDC-BA8FA2BC01F0}">
      <text>
        <r>
          <rPr>
            <sz val="9"/>
            <color indexed="81"/>
            <rFont val="Tahoma"/>
            <family val="2"/>
          </rPr>
          <t>Pulled from Utah study</t>
        </r>
      </text>
    </comment>
    <comment ref="G16" authorId="0" shapeId="0" xr:uid="{068CFF7B-0258-4F49-88D7-48544F251A2C}">
      <text>
        <r>
          <rPr>
            <sz val="9"/>
            <color indexed="81"/>
            <rFont val="Tahoma"/>
            <family val="2"/>
          </rPr>
          <t>Page 79 of PDF, 10-K</t>
        </r>
      </text>
    </comment>
    <comment ref="H16" authorId="0" shapeId="0" xr:uid="{4984E8BF-5B10-4002-8299-B6D3179C366A}">
      <text>
        <r>
          <rPr>
            <sz val="9"/>
            <color indexed="81"/>
            <rFont val="Tahoma"/>
            <family val="2"/>
          </rPr>
          <t>Page 79 of 10-K</t>
        </r>
      </text>
    </comment>
    <comment ref="H17" authorId="1" shapeId="0" xr:uid="{ADFC5E30-D3A2-4F4F-9102-B7C3E192910F}">
      <text>
        <r>
          <rPr>
            <sz val="9"/>
            <color indexed="81"/>
            <rFont val="Tahoma"/>
            <family val="2"/>
          </rPr>
          <t xml:space="preserve">Page 20 of PDF, 10-K
</t>
        </r>
      </text>
    </comment>
    <comment ref="H18" authorId="0" shapeId="0" xr:uid="{416856BE-092C-46FD-A9D6-D72AAC7AE955}">
      <text>
        <r>
          <rPr>
            <sz val="9"/>
            <color indexed="81"/>
            <rFont val="Tahoma"/>
            <family val="2"/>
          </rPr>
          <t>Page 57 of 10-K</t>
        </r>
      </text>
    </comment>
    <comment ref="H19" authorId="0" shapeId="0" xr:uid="{6DA4835D-378D-4AF1-9C6A-EDB49EC454E1}">
      <text>
        <r>
          <rPr>
            <sz val="9"/>
            <color indexed="81"/>
            <rFont val="Tahoma"/>
            <family val="2"/>
          </rPr>
          <t>Pulled from Utah study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rev3857</author>
  </authors>
  <commentList>
    <comment ref="H17" authorId="0" shapeId="0" xr:uid="{82ECCEE6-D524-4CA1-A097-A02F6FC9E43B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J17" authorId="0" shapeId="0" xr:uid="{388A49D2-65C3-45E6-B0B4-412C25DE25F5}">
      <text>
        <r>
          <rPr>
            <sz val="9"/>
            <color indexed="81"/>
            <rFont val="Tahoma"/>
            <family val="2"/>
          </rPr>
          <t>Page 64 of PDF, 10-K</t>
        </r>
      </text>
    </comment>
    <comment ref="H18" authorId="0" shapeId="0" xr:uid="{0A5B9CF2-4301-4088-9392-04D2C671F161}">
      <text>
        <r>
          <rPr>
            <sz val="9"/>
            <color indexed="81"/>
            <rFont val="Tahoma"/>
            <family val="2"/>
          </rPr>
          <t>Page 85 of PDF, 10-K</t>
        </r>
      </text>
    </comment>
    <comment ref="J18" authorId="0" shapeId="0" xr:uid="{99A4AE31-6FFD-49EA-AD21-3DFA80461260}">
      <text>
        <r>
          <rPr>
            <sz val="9"/>
            <color indexed="81"/>
            <rFont val="Tahoma"/>
            <family val="2"/>
          </rPr>
          <t>Page 85 of PDF, 10-K</t>
        </r>
      </text>
    </comment>
    <comment ref="H19" authorId="0" shapeId="0" xr:uid="{1D1A6E21-6F1E-44E6-AF4D-7E135100F266}">
      <text>
        <r>
          <rPr>
            <sz val="9"/>
            <color indexed="81"/>
            <rFont val="Tahoma"/>
            <family val="2"/>
          </rPr>
          <t>Page 50 of PDF, 10-K</t>
        </r>
      </text>
    </comment>
    <comment ref="J19" authorId="0" shapeId="0" xr:uid="{23BCB29D-7D88-4097-A1B4-5014F47035A9}">
      <text>
        <r>
          <rPr>
            <sz val="9"/>
            <color indexed="81"/>
            <rFont val="Tahoma"/>
            <family val="2"/>
          </rPr>
          <t>Page 50 of PDF, 10-K</t>
        </r>
      </text>
    </comment>
    <comment ref="H20" authorId="1" shapeId="0" xr:uid="{4255805E-7724-40A9-A3D5-9D7A9696905C}">
      <text>
        <r>
          <rPr>
            <sz val="9"/>
            <color indexed="81"/>
            <rFont val="Tahoma"/>
            <family val="2"/>
          </rPr>
          <t>Page 69 of PDF, 10-K</t>
        </r>
      </text>
    </comment>
    <comment ref="J20" authorId="1" shapeId="0" xr:uid="{BDFAB27A-3B29-41C4-9A76-2AA7B1110DA1}">
      <text>
        <r>
          <rPr>
            <sz val="9"/>
            <color indexed="81"/>
            <rFont val="Tahoma"/>
            <family val="2"/>
          </rPr>
          <t>Page 71 of PDF, 10-K</t>
        </r>
      </text>
    </comment>
    <comment ref="H21" authorId="0" shapeId="0" xr:uid="{0D0B3968-9196-429B-88CD-948A889D9E06}">
      <text>
        <r>
          <rPr>
            <sz val="9"/>
            <color indexed="81"/>
            <rFont val="Tahoma"/>
            <family val="2"/>
          </rPr>
          <t>Page 46 of PDF, 10-K</t>
        </r>
      </text>
    </comment>
    <comment ref="I21" authorId="0" shapeId="0" xr:uid="{E363FAAD-DA28-4007-861B-5D6290F0DA84}">
      <text>
        <r>
          <rPr>
            <sz val="9"/>
            <color indexed="81"/>
            <rFont val="Tahoma"/>
            <family val="2"/>
          </rPr>
          <t xml:space="preserve">Page 46 of PDF, 10-K
</t>
        </r>
      </text>
    </comment>
    <comment ref="J21" authorId="0" shapeId="0" xr:uid="{6D87627E-0425-44D8-AE00-58B6C7B23C4B}">
      <text>
        <r>
          <rPr>
            <sz val="9"/>
            <color indexed="81"/>
            <rFont val="Tahoma"/>
            <family val="2"/>
          </rPr>
          <t>Page 46 of PDF, 10-K</t>
        </r>
      </text>
    </comment>
    <comment ref="H22" authorId="0" shapeId="0" xr:uid="{80A3FB12-31A0-4E89-A51D-FD134BF4D028}">
      <text>
        <r>
          <rPr>
            <sz val="9"/>
            <color indexed="81"/>
            <rFont val="Tahoma"/>
            <family val="2"/>
          </rPr>
          <t>Page 54 of PDF, 10-K</t>
        </r>
      </text>
    </comment>
    <comment ref="J22" authorId="0" shapeId="0" xr:uid="{F83814D9-819B-4AF6-B1C4-EDBAA1295ED2}">
      <text>
        <r>
          <rPr>
            <sz val="9"/>
            <color indexed="81"/>
            <rFont val="Tahoma"/>
            <family val="2"/>
          </rPr>
          <t>Page 54 of PDF, 10-K</t>
        </r>
      </text>
    </comment>
    <comment ref="H23" authorId="0" shapeId="0" xr:uid="{99205347-4F86-42FF-A54C-A881E65F0C85}">
      <text>
        <r>
          <rPr>
            <sz val="9"/>
            <color indexed="81"/>
            <rFont val="Tahoma"/>
            <family val="2"/>
          </rPr>
          <t>Page 24 of PDF, 10-K</t>
        </r>
      </text>
    </comment>
    <comment ref="J23" authorId="0" shapeId="0" xr:uid="{1F8DD5F5-FD20-4864-8B94-540E0705D977}">
      <text>
        <r>
          <rPr>
            <sz val="9"/>
            <color indexed="81"/>
            <rFont val="Tahoma"/>
            <family val="2"/>
          </rPr>
          <t>Page 24 of PDF, 10-K</t>
        </r>
      </text>
    </comment>
    <comment ref="F35" authorId="2" shapeId="0" xr:uid="{08C1C4C5-6DA8-42A4-8B23-96FFBC12C603}">
      <text>
        <r>
          <rPr>
            <sz val="9"/>
            <color indexed="81"/>
            <rFont val="Tahoma"/>
            <family val="2"/>
          </rPr>
          <t>Page 79 of PDF, 10-K</t>
        </r>
      </text>
    </comment>
    <comment ref="F36" authorId="2" shapeId="0" xr:uid="{844D6C5B-2AB5-446D-96BC-3B4A763E81A5}">
      <text>
        <r>
          <rPr>
            <sz val="9"/>
            <color indexed="81"/>
            <rFont val="Tahoma"/>
            <family val="2"/>
          </rPr>
          <t>Page 133 of PDF, 10-K</t>
        </r>
      </text>
    </comment>
    <comment ref="F37" authorId="2" shapeId="0" xr:uid="{D1E8CAB3-ADE6-41CA-9415-7337F6F67462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F38" authorId="2" shapeId="0" xr:uid="{70890AFE-36B4-471B-B68C-6844540B3654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F39" authorId="2" shapeId="0" xr:uid="{4B1F4F20-C50E-4928-A25A-E084BEB4D7E1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F40" authorId="2" shapeId="0" xr:uid="{7C52D57F-F287-407E-B755-587D530AC106}">
      <text>
        <r>
          <rPr>
            <sz val="9"/>
            <color indexed="81"/>
            <rFont val="Tahoma"/>
            <family val="2"/>
          </rPr>
          <t>Page 69 of PDF, 10-K</t>
        </r>
      </text>
    </comment>
    <comment ref="F41" authorId="2" shapeId="0" xr:uid="{D172B32D-DC3C-43BD-AE53-90F99D644F9B}">
      <text>
        <r>
          <rPr>
            <sz val="9"/>
            <color indexed="81"/>
            <rFont val="Tahoma"/>
            <family val="2"/>
          </rPr>
          <t>Page 41 of PDF, 10-K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REVT221</author>
    <author>rev3569</author>
    <author>K Reaves</author>
  </authors>
  <commentList>
    <comment ref="H12" authorId="0" shapeId="0" xr:uid="{FF4B20C2-6104-475D-8007-E7CB3F5A8BF6}">
      <text>
        <r>
          <rPr>
            <sz val="9"/>
            <color indexed="81"/>
            <rFont val="Tahoma"/>
            <family val="2"/>
          </rPr>
          <t>Page 46 of PDF, 10-K</t>
        </r>
      </text>
    </comment>
    <comment ref="H13" authorId="0" shapeId="0" xr:uid="{214B0FCC-A322-4A06-8CAC-655A41DB1100}">
      <text>
        <r>
          <rPr>
            <sz val="9"/>
            <color indexed="81"/>
            <rFont val="Tahoma"/>
            <family val="2"/>
          </rPr>
          <t>Page 74 of PDF, 10-K</t>
        </r>
      </text>
    </comment>
    <comment ref="G14" authorId="1" shapeId="0" xr:uid="{42C9EA72-D10E-454F-8A23-28AF0FFD5891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2020 10-k and Proxy Statement on co. website</t>
        </r>
      </text>
    </comment>
    <comment ref="G16" authorId="1" shapeId="0" xr:uid="{98B30267-8DAD-4F48-8AC9-5034928354F4}">
      <text>
        <r>
          <rPr>
            <sz val="9"/>
            <color indexed="81"/>
            <rFont val="Tahoma"/>
            <family val="2"/>
          </rPr>
          <t xml:space="preserve">Corporate website
</t>
        </r>
      </text>
    </comment>
    <comment ref="G18" authorId="2" shapeId="0" xr:uid="{28031DEE-676D-40C6-8995-56B15271127C}">
      <text>
        <r>
          <rPr>
            <sz val="9"/>
            <color indexed="81"/>
            <rFont val="Tahoma"/>
            <family val="2"/>
          </rPr>
          <t>Page 18 from PDF, 10-K
Pulled Mergent Bond rate from corresponding table in Cost of Debt study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K Reaves</author>
    <author>rev3857</author>
  </authors>
  <commentList>
    <comment ref="H18" authorId="0" shapeId="0" xr:uid="{15D8293C-FE79-4F5F-9E61-1039A6AB9EC4}">
      <text>
        <r>
          <rPr>
            <sz val="9"/>
            <color indexed="81"/>
            <rFont val="Tahoma"/>
            <family val="2"/>
          </rPr>
          <t>Page 2 of 2021  40F</t>
        </r>
      </text>
    </comment>
    <comment ref="J18" authorId="1" shapeId="0" xr:uid="{FE9E502A-E80C-4A50-AFE9-AF431A53C46A}">
      <text>
        <r>
          <rPr>
            <sz val="9"/>
            <color indexed="81"/>
            <rFont val="Tahoma"/>
            <family val="2"/>
          </rPr>
          <t>Page 9 of Full Year Statement, 0.79111 is CAD -&gt; USD</t>
        </r>
      </text>
    </comment>
    <comment ref="H19" authorId="2" shapeId="0" xr:uid="{5AAABFD6-4A03-4539-B4F1-8529DBCF852F}">
      <text>
        <r>
          <rPr>
            <sz val="9"/>
            <color indexed="81"/>
            <rFont val="Tahoma"/>
            <family val="2"/>
          </rPr>
          <t>Page 93 of PDF, 10-K/Annual Report</t>
        </r>
      </text>
    </comment>
    <comment ref="J19" authorId="1" shapeId="0" xr:uid="{0331C814-DA96-4894-8CC6-4B8F812C38CD}">
      <text>
        <r>
          <rPr>
            <sz val="9"/>
            <color indexed="81"/>
            <rFont val="Tahoma"/>
            <family val="2"/>
          </rPr>
          <t>Page 93 of PDF, 10-K/Annual Report
0.79111 is CAD-&gt;USD</t>
        </r>
      </text>
    </comment>
    <comment ref="H20" authorId="0" shapeId="0" xr:uid="{353F0674-973A-47D8-A263-791EBDB0FE0B}">
      <text>
        <r>
          <rPr>
            <sz val="9"/>
            <color indexed="81"/>
            <rFont val="Tahoma"/>
            <family val="2"/>
          </rPr>
          <t>Page 55 of PDF, 10-K
*See note on bottom of page in PDF</t>
        </r>
      </text>
    </comment>
    <comment ref="J20" authorId="0" shapeId="0" xr:uid="{28806DDC-8725-45E4-B0FE-457F2DA02560}">
      <text>
        <r>
          <rPr>
            <sz val="9"/>
            <color indexed="81"/>
            <rFont val="Tahoma"/>
            <family val="2"/>
          </rPr>
          <t>Page 53 of PDF, 10-K</t>
        </r>
      </text>
    </comment>
    <comment ref="H21" authorId="0" shapeId="0" xr:uid="{BD429301-7859-4C3B-A246-D2FCA53AB66F}">
      <text>
        <r>
          <rPr>
            <sz val="9"/>
            <color indexed="81"/>
            <rFont val="Tahoma"/>
            <family val="2"/>
          </rPr>
          <t>Page 40 of PDF, 10-K</t>
        </r>
      </text>
    </comment>
    <comment ref="J21" authorId="0" shapeId="0" xr:uid="{21660E6F-FBB6-43AD-8D6E-FC7D042EA777}">
      <text>
        <r>
          <rPr>
            <sz val="9"/>
            <color indexed="81"/>
            <rFont val="Tahoma"/>
            <family val="2"/>
          </rPr>
          <t>Page 40 of PDF, 10-K</t>
        </r>
      </text>
    </comment>
    <comment ref="H22" authorId="0" shapeId="0" xr:uid="{10CF9C3E-9148-49D9-976C-13BE415EA0D5}">
      <text>
        <r>
          <rPr>
            <sz val="9"/>
            <color indexed="81"/>
            <rFont val="Tahoma"/>
            <family val="2"/>
          </rPr>
          <t>Page 37 of PDF, 10-K</t>
        </r>
      </text>
    </comment>
    <comment ref="J22" authorId="0" shapeId="0" xr:uid="{13387D90-87EC-4224-B83A-604E437AB90F}">
      <text>
        <r>
          <rPr>
            <sz val="9"/>
            <color indexed="81"/>
            <rFont val="Tahoma"/>
            <family val="2"/>
          </rPr>
          <t>Page 37 of PDF, 10-K</t>
        </r>
      </text>
    </comment>
    <comment ref="G33" authorId="3" shapeId="0" xr:uid="{A02E334E-AF1D-420E-89B4-4257E7F951A7}">
      <text>
        <r>
          <rPr>
            <sz val="9"/>
            <color indexed="81"/>
            <rFont val="Tahoma"/>
            <family val="2"/>
          </rPr>
          <t>Page 77 of Ful Year Statement, Long Term Debt BV (J18) already has the conversion factor calculated in</t>
        </r>
      </text>
    </comment>
    <comment ref="G34" authorId="3" shapeId="0" xr:uid="{A2FB8486-9E68-4BD2-A057-6A75DAB511FF}">
      <text>
        <r>
          <rPr>
            <sz val="9"/>
            <color indexed="81"/>
            <rFont val="Tahoma"/>
            <family val="2"/>
          </rPr>
          <t>Page 119 of PDF, 10-K/Annual Report</t>
        </r>
      </text>
    </comment>
    <comment ref="G35" authorId="0" shapeId="0" xr:uid="{F991F62A-BDD6-404E-BC05-9F53F29D38B7}">
      <text>
        <r>
          <rPr>
            <sz val="9"/>
            <color indexed="81"/>
            <rFont val="Tahoma"/>
            <family val="2"/>
          </rPr>
          <t>Page 108 of PDF, 10-K</t>
        </r>
      </text>
    </comment>
    <comment ref="G36" authorId="3" shapeId="0" xr:uid="{72F4E948-3D9E-48C2-9F4F-233665140546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G37" authorId="3" shapeId="0" xr:uid="{61B5BE19-832F-4CB5-87F4-FF11A8CA594B}">
      <text>
        <r>
          <rPr>
            <sz val="9"/>
            <color indexed="81"/>
            <rFont val="Tahoma"/>
            <family val="2"/>
          </rPr>
          <t>Page 55 of PDF, 10-K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G11" authorId="0" shapeId="0" xr:uid="{7ACCEA81-25B0-4088-A0E2-EF46D30CC810}">
      <text>
        <r>
          <rPr>
            <sz val="9"/>
            <color indexed="81"/>
            <rFont val="Tahoma"/>
            <family val="2"/>
          </rPr>
          <t>Page 31 of PDF, 40-F</t>
        </r>
      </text>
    </comment>
    <comment ref="G12" authorId="0" shapeId="0" xr:uid="{9D58843F-7CB9-490C-B591-67BCF9DE7832}">
      <text>
        <r>
          <rPr>
            <sz val="9"/>
            <color indexed="81"/>
            <rFont val="Tahoma"/>
            <family val="2"/>
          </rPr>
          <t>Page 68 of PDF, 10-K/Annual Report</t>
        </r>
      </text>
    </comment>
    <comment ref="G13" authorId="0" shapeId="0" xr:uid="{17D62090-CF3E-446E-9B9B-23B777B6CCE3}">
      <text>
        <r>
          <rPr>
            <sz val="9"/>
            <color indexed="81"/>
            <rFont val="Tahoma"/>
            <family val="2"/>
          </rPr>
          <t>Page 38 of PDF, 10-K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C3ADC09B-EA6F-4E51-93AE-D6C889FF5B6D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J17" authorId="0" shapeId="0" xr:uid="{FA49305E-5753-464B-8140-16CF64C05267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G27" authorId="1" shapeId="0" xr:uid="{6B587B6D-86EA-455D-BA51-0B1253B9A51D}">
      <text>
        <r>
          <rPr>
            <b/>
            <sz val="9"/>
            <color indexed="81"/>
            <rFont val="Tahoma"/>
            <family val="2"/>
          </rPr>
          <t>Page 75 10-K</t>
        </r>
      </text>
    </comment>
    <comment ref="F41" authorId="2" shapeId="0" xr:uid="{4E3C8EED-2134-488F-A7A9-F4FD38600B32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G41" authorId="2" shapeId="0" xr:uid="{57C276BD-DA45-4EFC-A976-73441865DA73}">
      <text>
        <r>
          <rPr>
            <sz val="9"/>
            <color indexed="81"/>
            <rFont val="Tahoma"/>
            <family val="2"/>
          </rPr>
          <t>Page 70 of PDF, 10-K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E11" authorId="0" shapeId="0" xr:uid="{BCF8CE72-DD2A-4049-98A7-7A9DF43451B8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2021
</t>
        </r>
      </text>
    </comment>
    <comment ref="H11" authorId="0" shapeId="0" xr:uid="{0E1A86A9-797E-49C4-8997-6D92E5FC01BE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97 (PDF)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500F695A-0523-4F43-86ED-446597411609}">
      <text>
        <r>
          <rPr>
            <sz val="9"/>
            <color indexed="81"/>
            <rFont val="Tahoma"/>
            <family val="2"/>
          </rPr>
          <t>Page 47 of PDF, 10-K</t>
        </r>
      </text>
    </comment>
    <comment ref="J17" authorId="0" shapeId="0" xr:uid="{8BF2470F-6AE4-4E83-92A3-FF9E78FD7A64}">
      <text>
        <r>
          <rPr>
            <sz val="9"/>
            <color indexed="81"/>
            <rFont val="Tahoma"/>
            <family val="2"/>
          </rPr>
          <t>Page 47 of PDF, 10-K</t>
        </r>
      </text>
    </comment>
    <comment ref="G27" authorId="1" shapeId="0" xr:uid="{68BD2F45-24CD-4B66-9DDB-2955DD839D54}">
      <text>
        <r>
          <rPr>
            <b/>
            <sz val="9"/>
            <color indexed="81"/>
            <rFont val="Tahoma"/>
            <family val="2"/>
          </rPr>
          <t>Page 52 10-K</t>
        </r>
      </text>
    </comment>
    <comment ref="D41" authorId="2" shapeId="0" xr:uid="{5A3089BB-4593-4BEF-80FF-8164F8AFC505}">
      <text>
        <r>
          <rPr>
            <sz val="9"/>
            <color indexed="81"/>
            <rFont val="Tahoma"/>
            <family val="2"/>
          </rPr>
          <t>Page 67 of PDF, 10-K</t>
        </r>
      </text>
    </comment>
    <comment ref="F41" authorId="2" shapeId="0" xr:uid="{4C99A0AF-4CEC-427B-AAC1-2AE037287903}">
      <text>
        <r>
          <rPr>
            <sz val="9"/>
            <color indexed="81"/>
            <rFont val="Tahoma"/>
            <family val="2"/>
          </rPr>
          <t>Page 46 of PDF, 10-K</t>
        </r>
      </text>
    </comment>
    <comment ref="G41" authorId="2" shapeId="0" xr:uid="{4AFF5B7A-1BB4-46F9-A533-2883637C7132}">
      <text>
        <r>
          <rPr>
            <sz val="9"/>
            <color indexed="81"/>
            <rFont val="Tahoma"/>
            <family val="2"/>
          </rPr>
          <t>Page 47 of PDF, 10-K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H11" authorId="0" shapeId="0" xr:uid="{9B174CDE-CF28-45F4-A8F3-B5D9BABFA7A3}">
      <text>
        <r>
          <rPr>
            <sz val="9"/>
            <color indexed="81"/>
            <rFont val="Tahoma"/>
            <family val="2"/>
          </rPr>
          <t>Pulled from Colorado Study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D8FE28A3-86BD-4CE3-BF3D-F13BE8DEE10D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J17" authorId="0" shapeId="0" xr:uid="{9DDA5F7E-0BF7-4199-9488-9B68DB4138F4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G27" authorId="1" shapeId="0" xr:uid="{94E02BE4-BE86-4D18-A36A-BB37B16AB073}">
      <text>
        <r>
          <rPr>
            <b/>
            <sz val="9"/>
            <color indexed="81"/>
            <rFont val="Tahoma"/>
            <family val="2"/>
          </rPr>
          <t>Page 98 10-K</t>
        </r>
      </text>
    </comment>
    <comment ref="D41" authorId="2" shapeId="0" xr:uid="{A68A2143-EE1B-49EA-BDDD-10969FA65D25}">
      <text>
        <r>
          <rPr>
            <sz val="9"/>
            <color indexed="81"/>
            <rFont val="Tahoma"/>
            <family val="2"/>
          </rPr>
          <t>Page 129, 10-K</t>
        </r>
      </text>
    </comment>
    <comment ref="F41" authorId="2" shapeId="0" xr:uid="{0FB802A5-C997-4BF1-8872-70F7B1E10C1C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G41" authorId="2" shapeId="0" xr:uid="{DC1E36C7-9440-41D4-B5C5-78E5F92E9FC4}">
      <text>
        <r>
          <rPr>
            <sz val="9"/>
            <color indexed="81"/>
            <rFont val="Tahoma"/>
            <family val="2"/>
          </rPr>
          <t>Page 98 of PDF, 10-K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A05BF99E-6D1B-4F65-8AC7-489ADD6B6687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2021 on VL</t>
        </r>
      </text>
    </comment>
    <comment ref="G11" authorId="1" shapeId="0" xr:uid="{18EE9D13-7C8F-46DF-B0B2-55DB1D8177AD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Washington study
Fitch rating was B-</t>
        </r>
      </text>
    </comment>
    <comment ref="H11" authorId="0" shapeId="0" xr:uid="{C5D0333D-2DC6-45B4-BD0B-997C57162C6C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Jan 2022 pg 91 (PDF) -Not found
Check internet Moody's site
B2 from Oregon / montana &amp; Colorado 
B3 from Washington</t>
        </r>
      </text>
    </comment>
  </commentList>
</comments>
</file>

<file path=xl/sharedStrings.xml><?xml version="1.0" encoding="utf-8"?>
<sst xmlns="http://schemas.openxmlformats.org/spreadsheetml/2006/main" count="5357" uniqueCount="572">
  <si>
    <t>KENTUCKY DEPARTMENT OF REVENUE</t>
  </si>
  <si>
    <t>DIVISION OF STATE VALUATION, PUBLIC SERVICE BRANCH</t>
  </si>
  <si>
    <t>2022 Tax Year</t>
  </si>
  <si>
    <t>DIRECT CAPITALIZATION RATE STUDY</t>
  </si>
  <si>
    <t>UNITED AIRLINES</t>
  </si>
  <si>
    <t>Cash Flow Direct Capitalization Rate</t>
  </si>
  <si>
    <t xml:space="preserve"> </t>
  </si>
  <si>
    <t xml:space="preserve">Source of </t>
  </si>
  <si>
    <t>Capital</t>
  </si>
  <si>
    <t xml:space="preserve">Cost of </t>
  </si>
  <si>
    <t>Tax</t>
  </si>
  <si>
    <t>Cost of Capital</t>
  </si>
  <si>
    <t>Weighted</t>
  </si>
  <si>
    <t>Structure</t>
  </si>
  <si>
    <t>Rate</t>
  </si>
  <si>
    <t>After Tax</t>
  </si>
  <si>
    <t>Cost</t>
  </si>
  <si>
    <t>EQUITY</t>
  </si>
  <si>
    <t>DEBT</t>
  </si>
  <si>
    <t>TOTAL</t>
  </si>
  <si>
    <t>SAY</t>
  </si>
  <si>
    <t>The capital structure of this industry is a representative or typical capital structure of the group, not that of the present owner.  The capital structure selected reflects the most likely arrangement of a prospective buyer.</t>
  </si>
  <si>
    <t>Industry &gt; Air Carriers - ALL</t>
  </si>
  <si>
    <t>Dec. 31, 2021</t>
  </si>
  <si>
    <t>4th Qtr</t>
  </si>
  <si>
    <t>Common Stock</t>
  </si>
  <si>
    <t>Ticker</t>
  </si>
  <si>
    <t xml:space="preserve">Industry </t>
  </si>
  <si>
    <t>Stock Price</t>
  </si>
  <si>
    <t>Average</t>
  </si>
  <si>
    <t>Shares Outstanding</t>
  </si>
  <si>
    <t>Preferred Stock</t>
  </si>
  <si>
    <t>Long Term Debt **</t>
  </si>
  <si>
    <t>Company</t>
  </si>
  <si>
    <t>Symbol</t>
  </si>
  <si>
    <t>Group</t>
  </si>
  <si>
    <t>High</t>
  </si>
  <si>
    <t>Low</t>
  </si>
  <si>
    <t>Shares Issued less Treasury</t>
  </si>
  <si>
    <t>BV</t>
  </si>
  <si>
    <t>VL</t>
  </si>
  <si>
    <t>Yahoo</t>
  </si>
  <si>
    <t>10K / SEC</t>
  </si>
  <si>
    <t>United Airlines Holdings Inc</t>
  </si>
  <si>
    <t>UAL</t>
  </si>
  <si>
    <t>Airtrans</t>
  </si>
  <si>
    <t>Op Leased Property *</t>
  </si>
  <si>
    <t xml:space="preserve">Long Term Debt </t>
  </si>
  <si>
    <t>Total Market Value</t>
  </si>
  <si>
    <t>% Common Stock</t>
  </si>
  <si>
    <t xml:space="preserve">% LT Debt </t>
  </si>
  <si>
    <t>FMV</t>
  </si>
  <si>
    <t>CS+LTD +PS</t>
  </si>
  <si>
    <t>Calculated</t>
  </si>
  <si>
    <t>RANGE</t>
  </si>
  <si>
    <t>19.69% - 64.70%</t>
  </si>
  <si>
    <t>35.30% - 80.31%</t>
  </si>
  <si>
    <t>* Operating lease rents included are for aircraft, engines, office and facilities, purchased capacity, vehicles, real property, and other operating leased property.</t>
  </si>
  <si>
    <t>Median</t>
  </si>
  <si>
    <t xml:space="preserve">** Long Term Debt includes the capital lease debt  plus current maturities. </t>
  </si>
  <si>
    <t>Any difference between the lease liability value and lease asset value is prepayments, lease incentives, and/or other direct costs.</t>
  </si>
  <si>
    <t>Op Lease Expense</t>
  </si>
  <si>
    <t>ROU Values Assets</t>
  </si>
  <si>
    <t>ROU Values Liab.</t>
  </si>
  <si>
    <t>2021 Tax Year</t>
  </si>
  <si>
    <t>Industry &gt; Air Carriers - All</t>
  </si>
  <si>
    <t>Beta</t>
  </si>
  <si>
    <t xml:space="preserve">Actual </t>
  </si>
  <si>
    <t xml:space="preserve">Financial </t>
  </si>
  <si>
    <t>S&amp;P</t>
  </si>
  <si>
    <t>Moody's / Mergent Bond</t>
  </si>
  <si>
    <t>Tax Rate</t>
  </si>
  <si>
    <t>Strength</t>
  </si>
  <si>
    <t>Rating</t>
  </si>
  <si>
    <t>Debt Rate</t>
  </si>
  <si>
    <t>Mergent Bond</t>
  </si>
  <si>
    <t>AirTrans</t>
  </si>
  <si>
    <t>C++</t>
  </si>
  <si>
    <t>B+</t>
  </si>
  <si>
    <t>Ba2</t>
  </si>
  <si>
    <t>B++</t>
  </si>
  <si>
    <t>Ba1</t>
  </si>
  <si>
    <t>Say</t>
  </si>
  <si>
    <t>CASH FLOW MULTIPLIERS</t>
  </si>
  <si>
    <t>YEAR END 12/31/2021</t>
  </si>
  <si>
    <t>Cash Flow</t>
  </si>
  <si>
    <t>Computed</t>
  </si>
  <si>
    <t>Price</t>
  </si>
  <si>
    <t>Per Share</t>
  </si>
  <si>
    <t>Multiple</t>
  </si>
  <si>
    <t>Inverse</t>
  </si>
  <si>
    <t>DELTA</t>
  </si>
  <si>
    <t>Net of Treasury</t>
  </si>
  <si>
    <t xml:space="preserve">Delta Air Lines </t>
  </si>
  <si>
    <t>DAL</t>
  </si>
  <si>
    <t>Op Lese Expense</t>
  </si>
  <si>
    <t>Baa3</t>
  </si>
  <si>
    <t>SKYWEST, INC.</t>
  </si>
  <si>
    <t>Skywest Inc</t>
  </si>
  <si>
    <t>SKYW</t>
  </si>
  <si>
    <t>Baa</t>
  </si>
  <si>
    <t>1.05 - 1.85</t>
  </si>
  <si>
    <t>0.00% - 25.70%</t>
  </si>
  <si>
    <t>3.35% - 8.33%</t>
  </si>
  <si>
    <t>AMERICAN AIRLINES</t>
  </si>
  <si>
    <t>American Airlines Group</t>
  </si>
  <si>
    <t>AAL</t>
  </si>
  <si>
    <t xml:space="preserve">American Airlines </t>
  </si>
  <si>
    <t>C+</t>
  </si>
  <si>
    <t>B-</t>
  </si>
  <si>
    <t>B2</t>
  </si>
  <si>
    <t>SOUTHWEST</t>
  </si>
  <si>
    <t xml:space="preserve">Southwest Airlines </t>
  </si>
  <si>
    <t>LUV</t>
  </si>
  <si>
    <t>Baa1</t>
  </si>
  <si>
    <t>AIR CARRIER - All</t>
  </si>
  <si>
    <t xml:space="preserve">Alaska Air </t>
  </si>
  <si>
    <t>ALK</t>
  </si>
  <si>
    <t xml:space="preserve">Allegiant Travel Co. </t>
  </si>
  <si>
    <t>ALGT</t>
  </si>
  <si>
    <t xml:space="preserve">JetBlue Airways </t>
  </si>
  <si>
    <t>JBLU</t>
  </si>
  <si>
    <t xml:space="preserve">Spirit Airlines </t>
  </si>
  <si>
    <t>SAVE</t>
  </si>
  <si>
    <t>B</t>
  </si>
  <si>
    <t>BB</t>
  </si>
  <si>
    <t>Ba3</t>
  </si>
  <si>
    <t>BBB</t>
  </si>
  <si>
    <t>B1</t>
  </si>
  <si>
    <t>NMF: Not meaningful, a number is so large or small it is not meaningful</t>
  </si>
  <si>
    <t>14.24 - 187.04</t>
  </si>
  <si>
    <t>3.90 - 28.40</t>
  </si>
  <si>
    <t>2.94 - 7.14</t>
  </si>
  <si>
    <t>14.01% - 33.97%</t>
  </si>
  <si>
    <t>FEDEX</t>
  </si>
  <si>
    <t>Industry &gt; Air Carriers - Freight</t>
  </si>
  <si>
    <t>4TH Qtr</t>
  </si>
  <si>
    <t>FedEx Corp ***</t>
  </si>
  <si>
    <t>FDX</t>
  </si>
  <si>
    <t>Air Trans</t>
  </si>
  <si>
    <t>% LT Debt</t>
  </si>
  <si>
    <t>*** FedEx balance sheet came from 10Q Nov. 30, 2020</t>
  </si>
  <si>
    <t>Maintenance, real estate taxes,insurance and other operating expenses associated with the leases are excluded from the ROU measurement.</t>
  </si>
  <si>
    <t>Moody's /Mergent Bond</t>
  </si>
  <si>
    <t xml:space="preserve">FedEx Corp </t>
  </si>
  <si>
    <t>A++</t>
  </si>
  <si>
    <t>Baa2</t>
  </si>
  <si>
    <t>VL Actual 2021 CF</t>
  </si>
  <si>
    <t>UNITED PARCEL SERVICE</t>
  </si>
  <si>
    <t>Shares issued less Treasury</t>
  </si>
  <si>
    <t xml:space="preserve">United Parcel Service </t>
  </si>
  <si>
    <t>UPS</t>
  </si>
  <si>
    <t>A+</t>
  </si>
  <si>
    <t>A2</t>
  </si>
  <si>
    <t>AIR CARRIER - FREIGHT</t>
  </si>
  <si>
    <t>Book Value</t>
  </si>
  <si>
    <t>Air Transport Services Group</t>
  </si>
  <si>
    <t>ATSG</t>
  </si>
  <si>
    <t>Atlas Air</t>
  </si>
  <si>
    <t>AAWW</t>
  </si>
  <si>
    <t>48.89% - 86.65%</t>
  </si>
  <si>
    <t>13.35% - 51.11%</t>
  </si>
  <si>
    <t>*** FedEx balance sheet came from 10Q Nov. 30, 2019</t>
  </si>
  <si>
    <t>Air Transport Services</t>
  </si>
  <si>
    <t>Without Atlas</t>
  </si>
  <si>
    <t>Atlas Air Worldwide Holdings</t>
  </si>
  <si>
    <t>0.70 - 1.05</t>
  </si>
  <si>
    <t>21.4 - 39.4</t>
  </si>
  <si>
    <t>3.02% - 6.13%</t>
  </si>
  <si>
    <t>29.38 - 258.64</t>
  </si>
  <si>
    <t>5.76 - 32.46</t>
  </si>
  <si>
    <t>3.47 - 13.78</t>
  </si>
  <si>
    <t>7.25 - 28.85%</t>
  </si>
  <si>
    <t>WITHOUT ATLAS AIR</t>
  </si>
  <si>
    <t>5.10 - 13.78</t>
  </si>
  <si>
    <t>7.25 -19.61%</t>
  </si>
  <si>
    <t>ELECTRIC UTILITIES</t>
  </si>
  <si>
    <t>-</t>
  </si>
  <si>
    <t>Industry &gt; Electric Companies</t>
  </si>
  <si>
    <t>Allete</t>
  </si>
  <si>
    <t>ALE</t>
  </si>
  <si>
    <t>Electric Utility</t>
  </si>
  <si>
    <t>Alliant Energy</t>
  </si>
  <si>
    <t>LNT</t>
  </si>
  <si>
    <t>AMEREN</t>
  </si>
  <si>
    <t>AEE</t>
  </si>
  <si>
    <t>American Electric Power</t>
  </si>
  <si>
    <t>AEP</t>
  </si>
  <si>
    <t>Centerpoint Energy</t>
  </si>
  <si>
    <t>CNP</t>
  </si>
  <si>
    <t>CMS Energy</t>
  </si>
  <si>
    <t>CMS</t>
  </si>
  <si>
    <t>DTE Energy</t>
  </si>
  <si>
    <t>DTE</t>
  </si>
  <si>
    <t>Duke Energy</t>
  </si>
  <si>
    <t>DUK</t>
  </si>
  <si>
    <t>Entergy Corp</t>
  </si>
  <si>
    <t>ETR</t>
  </si>
  <si>
    <t>FirstEnergy Corp</t>
  </si>
  <si>
    <t>FE</t>
  </si>
  <si>
    <t>MGE Energy</t>
  </si>
  <si>
    <t>MGEE</t>
  </si>
  <si>
    <t>OGE Energy Corp.</t>
  </si>
  <si>
    <t>OGE</t>
  </si>
  <si>
    <t>Otter Tail Corp</t>
  </si>
  <si>
    <t>OTTR</t>
  </si>
  <si>
    <t>PPL Corporation</t>
  </si>
  <si>
    <t>PPL</t>
  </si>
  <si>
    <t>Southern</t>
  </si>
  <si>
    <t>SO</t>
  </si>
  <si>
    <t>WEC Energy Group</t>
  </si>
  <si>
    <t>WEC</t>
  </si>
  <si>
    <t>Preferred Stock &amp;</t>
  </si>
  <si>
    <t>Long Term Debt *</t>
  </si>
  <si>
    <t>% LT Debt &amp; Pref Stock</t>
  </si>
  <si>
    <t>45.70% - 80.53%</t>
  </si>
  <si>
    <t>19.47% - 54.30%</t>
  </si>
  <si>
    <t>S &amp; P</t>
  </si>
  <si>
    <t>A</t>
  </si>
  <si>
    <t>A-</t>
  </si>
  <si>
    <t>BBB+</t>
  </si>
  <si>
    <t>A1</t>
  </si>
  <si>
    <t>BBB-</t>
  </si>
  <si>
    <t>A3</t>
  </si>
  <si>
    <t>Southern Company</t>
  </si>
  <si>
    <t xml:space="preserve">  </t>
  </si>
  <si>
    <t>0.75 - 1.15</t>
  </si>
  <si>
    <t>0%  - 22.00%</t>
  </si>
  <si>
    <t>A+ - B++</t>
  </si>
  <si>
    <t>A1 - Baa3</t>
  </si>
  <si>
    <t>3.02%  - 6.07%</t>
  </si>
  <si>
    <t>PPL Corp</t>
  </si>
  <si>
    <t>27.91 - 119.54</t>
  </si>
  <si>
    <t>2.20 - 17.90</t>
  </si>
  <si>
    <t>6.29 - 16.29</t>
  </si>
  <si>
    <t>6.14 - 15.89%</t>
  </si>
  <si>
    <t xml:space="preserve">Guideline companies were selected from Electric (East &amp; Central &amp; West) Value Line Industry groups. </t>
  </si>
  <si>
    <t>INDEPENDENT ELECTRIC UTILITIES</t>
  </si>
  <si>
    <t>Industry &gt; Independent Electric Companies</t>
  </si>
  <si>
    <t>Exelon Corp</t>
  </si>
  <si>
    <t>EXC</t>
  </si>
  <si>
    <t>Wholesale Power</t>
  </si>
  <si>
    <t>NRG Energy</t>
  </si>
  <si>
    <t>NRG</t>
  </si>
  <si>
    <t>AES Corporation</t>
  </si>
  <si>
    <t>AES</t>
  </si>
  <si>
    <t>Vistra Energy</t>
  </si>
  <si>
    <t>VST</t>
  </si>
  <si>
    <t>0.79111 is CAD to USD Conversion on 12/30/21, https://www.exchange-rates.org/Rate/CAD/USD/12-31-2021</t>
  </si>
  <si>
    <t>25.03% - 59.17%</t>
  </si>
  <si>
    <t>40.83% - 74.97%</t>
  </si>
  <si>
    <t>BB+</t>
  </si>
  <si>
    <t>0.95 - 1.15</t>
  </si>
  <si>
    <t>12.50%  - 38.00%</t>
  </si>
  <si>
    <t>A - B++</t>
  </si>
  <si>
    <t>BB  -  BBB-</t>
  </si>
  <si>
    <t>Ba1  -  Baa2</t>
  </si>
  <si>
    <t>3.35%  - 6.83%</t>
  </si>
  <si>
    <t xml:space="preserve">Independent Unregulated Wholesale Electric companies selected are limited to those companies that are operating in or near Kentucky. </t>
  </si>
  <si>
    <t xml:space="preserve">Guideline companies were selected from Power Producers in Value Line Industry groups. </t>
  </si>
  <si>
    <t>22.77 - 68.58</t>
  </si>
  <si>
    <t>1.02 - 13.95</t>
  </si>
  <si>
    <t>3.09 - 22.98</t>
  </si>
  <si>
    <t>4.35% - 32.38%</t>
  </si>
  <si>
    <t>Companies excluded from the study &gt;</t>
  </si>
  <si>
    <t>BMX Technologies - Nuclear energy supplier</t>
  </si>
  <si>
    <t>Enphase Energy - Solar energy supplier</t>
  </si>
  <si>
    <t xml:space="preserve">NextEra Energy - Contracted Clean Energy owner, supplier, &amp; manager.  Wind &amp; solar projects, Nat Gas Pipelines, </t>
  </si>
  <si>
    <t>Northland Power - Renewable energy supplier</t>
  </si>
  <si>
    <t>Pattern Energy- Was unable to find Valueline page and info for company.  Company removed</t>
  </si>
  <si>
    <t>Ormat Technologies Inc. - Geothermal operations</t>
  </si>
  <si>
    <t>TransAlta Corporation - Unregulated electric power producer.  Excluded.  Value line did not produce an annual review sheet for this company.</t>
  </si>
  <si>
    <t>Companies added to the study &gt;</t>
  </si>
  <si>
    <t>AES Corporation (VLP) - Contract Generating facilities that sell electricity in the spot market as well as long term contract basis.  &lt; Add in 2022 study.</t>
  </si>
  <si>
    <t>Exelon Corp - 68% Nuclear energy provider of electricty.  Has nonregulated generation and marketing operations.  Added in 2019 study.</t>
  </si>
  <si>
    <t>GAS DISTRIBUTION COMPANIES</t>
  </si>
  <si>
    <t>Industry &gt; Gas Distribution</t>
  </si>
  <si>
    <t>Atmos Energy Corp</t>
  </si>
  <si>
    <t>ATO</t>
  </si>
  <si>
    <t>Nat Gas Utility</t>
  </si>
  <si>
    <t>Black Hills Corporation</t>
  </si>
  <si>
    <t>BKH</t>
  </si>
  <si>
    <t>Electric &amp; Gas</t>
  </si>
  <si>
    <t>CenterPoint Energy Inc.</t>
  </si>
  <si>
    <t>CMS Energy Corporation</t>
  </si>
  <si>
    <t>MGE Energy Inc.</t>
  </si>
  <si>
    <t>New Jersey Resources Corp</t>
  </si>
  <si>
    <t>NJR</t>
  </si>
  <si>
    <t>NISOURCE Inc</t>
  </si>
  <si>
    <t>NI</t>
  </si>
  <si>
    <t>Northwest Natural Gas Company</t>
  </si>
  <si>
    <t>NWN</t>
  </si>
  <si>
    <t>One Gas Inc</t>
  </si>
  <si>
    <t>OGS</t>
  </si>
  <si>
    <t>South Jersey Industries Inc.</t>
  </si>
  <si>
    <t>SJI</t>
  </si>
  <si>
    <t>Southwest Gas Corp</t>
  </si>
  <si>
    <t>SWX</t>
  </si>
  <si>
    <t>Spire Inc</t>
  </si>
  <si>
    <t>SR</t>
  </si>
  <si>
    <t>CS + PS + LTD</t>
  </si>
  <si>
    <t>45.62% - 80.53%</t>
  </si>
  <si>
    <t>19.47% - 54.38%</t>
  </si>
  <si>
    <t>Industry &gt; Gas Distribution Companies</t>
  </si>
  <si>
    <t>Gas Utility</t>
  </si>
  <si>
    <t>NISOURCE Inc.</t>
  </si>
  <si>
    <t>AA-</t>
  </si>
  <si>
    <t xml:space="preserve">A2 </t>
  </si>
  <si>
    <t>Southwest Gas</t>
  </si>
  <si>
    <t>.75 - 1.15</t>
  </si>
  <si>
    <t>3.70% - 22.00%</t>
  </si>
  <si>
    <t>3.02% - 3.35%</t>
  </si>
  <si>
    <t xml:space="preserve">A3 </t>
  </si>
  <si>
    <t>S&amp;D / Yahoo</t>
  </si>
  <si>
    <t>One Gas INC</t>
  </si>
  <si>
    <t xml:space="preserve">Southwest Gas </t>
  </si>
  <si>
    <t>26.12 - 104.77</t>
  </si>
  <si>
    <t>2.70 - 9.50</t>
  </si>
  <si>
    <t>7.17 - 16.29</t>
  </si>
  <si>
    <t>6.14 - 13.94</t>
  </si>
  <si>
    <t>Companies added to this study are &gt;</t>
  </si>
  <si>
    <t xml:space="preserve">Black Hills Corporation - 84% of their customers are provided gas distribtuion and 16% are provided electric services.  Serve gas customers in Arkansas, Colorado, Iowa, Kansas, Nebraska, and Wyoming.  </t>
  </si>
  <si>
    <t>CenterPoint Energy Inc - 64% of their customers are provided gas distribtuion and 36% are provided electric services.  This company merged with Vectren Corp. in early 2019 but will be used for our purposes.</t>
  </si>
  <si>
    <t>CMS Energy Corporation - 50% of their customers are provided gas distribution and 50% are provided electric services.</t>
  </si>
  <si>
    <t>MGE Energy Inc. - 51% of their customers are provided gas distribution and 49% are provided electric services.</t>
  </si>
  <si>
    <t>WEC Energy Group - 64% of their customers receive gas distribution as well as electric service</t>
  </si>
  <si>
    <t xml:space="preserve">Atmos Energy Corporation - Nation's largest fully regulated natural gas-only distributor.  3 million customers.  </t>
  </si>
  <si>
    <t xml:space="preserve">New Jersey Resources Inc. (Holding Company) -  New Jersey Natural Gas serves customers in New Jersey and states from the Gulf Coast to New England and Canada.  Provides retail and wholesale services to 547,600 customers.  </t>
  </si>
  <si>
    <t xml:space="preserve">Nisource Inc. - 67% of their business income is associated with natural gas distribution.  A natural gas and electric company serving customers in Kentucky, Indiana, Ohio, Pennsylvania, Virginia, Maryland and Massachusetts  </t>
  </si>
  <si>
    <t xml:space="preserve">NothWest Natural Gas Company - 89% of their business income is associated with natural gas distribution.  </t>
  </si>
  <si>
    <t xml:space="preserve">One Gas Inc. - Oklahoma, Kansas, and Texas gas distributor.  Nation's 3rd largest fully regulated natural gas-only distributor.  2.0 million customers.  </t>
  </si>
  <si>
    <t xml:space="preserve">Southwest Gas Holdings Inc. (Southwest Gas Corp) - Arizona, California and Nevada gas distributor.  A large fully regulated natural gas distributor.  2.0 million customers.  Also owns the Paiute Pipeline Company.  </t>
  </si>
  <si>
    <t xml:space="preserve">South Jersey Industries Inc. - New Jersey and Maryland gas distributor.  Fully regulated natural gas-only distributor serving 690,000 customers.  </t>
  </si>
  <si>
    <t xml:space="preserve">Spire Inc. - Missouri, Alabama and Mississippi gas distributor.  Nation's 5th largest fully regulated natural gas-only distributor.  1.7 million customers.  </t>
  </si>
  <si>
    <t>GAS PIPELINE COMPANIES</t>
  </si>
  <si>
    <t>Industry &gt; Gas Pipeline Companies</t>
  </si>
  <si>
    <t>Shares issued less treasury</t>
  </si>
  <si>
    <t>DCP Midstream LP</t>
  </si>
  <si>
    <t>DCP</t>
  </si>
  <si>
    <t>Pipeline MLPs</t>
  </si>
  <si>
    <t>Enbridge Inc</t>
  </si>
  <si>
    <t>ENB.TO</t>
  </si>
  <si>
    <t>Oil &amp; Gas Distribution</t>
  </si>
  <si>
    <t>Energy Transfer LP</t>
  </si>
  <si>
    <t>ET</t>
  </si>
  <si>
    <t>Enlink Midstream LLC</t>
  </si>
  <si>
    <t>ENLC</t>
  </si>
  <si>
    <t>Enterprise Products Partnership LP</t>
  </si>
  <si>
    <t>EPD</t>
  </si>
  <si>
    <t>Kinder Morgan Inc</t>
  </si>
  <si>
    <t>KMI</t>
  </si>
  <si>
    <t>ONEOK Inc</t>
  </si>
  <si>
    <t>OKE</t>
  </si>
  <si>
    <t>TC Energy Corp</t>
  </si>
  <si>
    <t>TRP</t>
  </si>
  <si>
    <t>Williams Companys Inc</t>
  </si>
  <si>
    <t>WMB</t>
  </si>
  <si>
    <t>Dec. 31, 2020</t>
  </si>
  <si>
    <t>31.55% - 61.04%</t>
  </si>
  <si>
    <t>38.96% - 68.45%</t>
  </si>
  <si>
    <t>0.90 - 1.65</t>
  </si>
  <si>
    <t>0.00% - 24.00%</t>
  </si>
  <si>
    <t>3.35% - 6.83%</t>
  </si>
  <si>
    <t>S&amp;D Tab/Yahoo</t>
  </si>
  <si>
    <t>6.89 - 58.76</t>
  </si>
  <si>
    <t>1.35 - 4.85</t>
  </si>
  <si>
    <t>2.49 - 12.75</t>
  </si>
  <si>
    <t>7.84% - 40.10%</t>
  </si>
  <si>
    <t xml:space="preserve">Enlink Midstream LLC (ENLC) - Transports, stores, sells natural gas liquids and crude oil.  They have 12,000 miles of pipeline. </t>
  </si>
  <si>
    <t>AmeriGas Partners (APU) - Primarily engaged in the marketing and distribution of propane.  Not applicable to gas and/or fluid transportation pipeline services.   MLP</t>
  </si>
  <si>
    <t>Andeavor Logistics LP (AMDX) - Removed, Was acquired by MPLX LP on July 30th, 2019. No longer listed on stock indexes.</t>
  </si>
  <si>
    <t>Antero Midstream Parters (AM) - Primarily gathers and processes natural gas (some oil).  Also engaged mid stream activities and hydro facturing &amp; processing.  Not applicable to fluid transportation pipeline services.   Nat Gas Diversified</t>
  </si>
  <si>
    <t>Boardwalk Pipeline (BWP) - Not Used.  No longer publicly traded.</t>
  </si>
  <si>
    <t xml:space="preserve">Cheniere Energy Partners (CQP) - Not Used.  On the gulf coast (Louisiana).  NGL facilities engaged in shipping gas worldwide via ships.  A few pipelines.     </t>
  </si>
  <si>
    <t xml:space="preserve">Enlink Midstream Partners LP (ENLK) -  Primarily oil / gas exploration, production, gathering, and some transmission.  Company recently acquired by EnLink Midstream LLC  </t>
  </si>
  <si>
    <t>MDU Resources (MDU) -  Mainly in construction materials and contracting.  They do have pipeline servcies representing 1% of revenues.  Too small and more like a utility.  Nat Gas Diversified</t>
  </si>
  <si>
    <t>MPLX LP -  Primarily oil transporation.  Some gas transmission.  See liquid pipelines.      MLP</t>
  </si>
  <si>
    <t xml:space="preserve">National Fuel Gas (NFG) -   Primarily independent exploration and production company.  Not applicable to Gas pipeline transportation services.   Nat Gas Diversified  </t>
  </si>
  <si>
    <t xml:space="preserve">Spectra Energy Partners LP (SEP) and Spectra Energy Corp - Not used.  No longer publicly traded.  Acquired by Enbridge.    </t>
  </si>
  <si>
    <t>Suburban Propane (SPH) - Primarily engaged in the marketing and distribution of propane and fuel oil to retail customers.  Not applicable to gas pipeline services or the fluid transportation pipeline services.    MLP</t>
  </si>
  <si>
    <t>EQM Midstream Partners LP  (EQM) - merged with Equitrans Midstream Corp 06/2020</t>
  </si>
  <si>
    <t>LIQUID PIPELINE COMPANIES</t>
  </si>
  <si>
    <t>Industry &gt; Pipeline Companies</t>
  </si>
  <si>
    <t>Enterprise Products Partnership</t>
  </si>
  <si>
    <t>Holly Energy Partners LP</t>
  </si>
  <si>
    <t>HEP</t>
  </si>
  <si>
    <t>Magellan Midstream Partners</t>
  </si>
  <si>
    <t>MMP</t>
  </si>
  <si>
    <t>MPLX, LP</t>
  </si>
  <si>
    <t>MPLX</t>
  </si>
  <si>
    <t>NuStar Energy LP</t>
  </si>
  <si>
    <t>NS</t>
  </si>
  <si>
    <t>Phillips 66 Partners LP</t>
  </si>
  <si>
    <t>PSXP</t>
  </si>
  <si>
    <t>Plains All American Pipeline LP</t>
  </si>
  <si>
    <t>PAA</t>
  </si>
  <si>
    <t>31.55% - 65.84%</t>
  </si>
  <si>
    <t>34.16% - 68.45%</t>
  </si>
  <si>
    <t>Industry &gt; Liquid Pipeline Companies</t>
  </si>
  <si>
    <t>Holly Energy Partners</t>
  </si>
  <si>
    <t>Magellan Midstream Partners LP</t>
  </si>
  <si>
    <t>BB-</t>
  </si>
  <si>
    <t xml:space="preserve">Ba3 </t>
  </si>
  <si>
    <t xml:space="preserve">Phillips 66 Partners LP </t>
  </si>
  <si>
    <t>0.90 - 1.60</t>
  </si>
  <si>
    <t>0.00% - 10.10%</t>
  </si>
  <si>
    <t>3.02% - 7.98%</t>
  </si>
  <si>
    <t>Guideline companies in the Fluid Transportation Pipeline market segment are limited partnerships and the income tax liability is “passed-through” to the shareholders.</t>
  </si>
  <si>
    <t>S&amp;D Tab</t>
  </si>
  <si>
    <t>8.23 - 46.44</t>
  </si>
  <si>
    <t>1.95 - 5.00</t>
  </si>
  <si>
    <t>2.49 - 9.68</t>
  </si>
  <si>
    <t>10.34% - 40.1%</t>
  </si>
  <si>
    <t xml:space="preserve">AmeriGas Partners (APU) - Primarily engaged in the marketing and distribution of propane.  Not applicable to fluid transportation pipeline services.  </t>
  </si>
  <si>
    <t>Andeavor Logistics LP - Removed, Was acquired by MPLX LP on July 30th, 2019. No longer listed on stock indexes.</t>
  </si>
  <si>
    <t xml:space="preserve">Antero Midstream Parters (AM) - Primarily gathers and processes natural gas (some oil).  Also engaged mid stream activities and hydro facturing &amp; processing.  Not applicable to fluid transportation pipeline services.  </t>
  </si>
  <si>
    <t>Boardwalk Pipeline  - Not Used.  No longer publicly traded.</t>
  </si>
  <si>
    <t>Buckeye Partners LP - Removed Acquired/merged by IFM investors. No longer publicly traded.</t>
  </si>
  <si>
    <t>Cheniere Energy Partners (CQP) - Engages in LNG business and related natural gas pipelines.   MLP</t>
  </si>
  <si>
    <t xml:space="preserve">Suburban Propane (SPH) - Primarily engaged in the marketing and distribution of propane and fuel oil to retail customers.  Not applicable to fluid transportation pipeline services.  </t>
  </si>
  <si>
    <t xml:space="preserve">Spectra Energy Partners LP (SEP) and Spectra Energy Corp - Not used.  No longer publicly traded.    </t>
  </si>
  <si>
    <t xml:space="preserve">Tallgrass Energy Partners (TEP) and Tallgrass Energy GP, LP (TEGP) - Not used.  No longer publicly traded.    </t>
  </si>
  <si>
    <t>EQM Midstream Partners (EQM) - EQM merged with Equitrans Midstream Corp 06/2020</t>
  </si>
  <si>
    <t>Enable Midstream acquired by Energy Transfer 2021</t>
  </si>
  <si>
    <t>Valero Energy Partners (VLP) - Not Used.  No longer publicly traded. Acquired by Valero Energy Corp.</t>
  </si>
  <si>
    <t>Energy Transfer LP (ET) -  Acquired SemGroup Corporation Dec. 2019.  Now called Energy Transfer LP.  Will be used in the future.  Involved in interstate &amp; intrastate transportation of crude oil, natural gas, NGLs and refined products.</t>
  </si>
  <si>
    <t>Companies to consider in the study &gt;</t>
  </si>
  <si>
    <t>Shell Midstream Partners LP (SHLX) - Owns transmission pipelines.  They own 2.6% of the explorer pipeline that is engaged in the transportation of oil products.  Colorado and Utah included this company.</t>
  </si>
  <si>
    <t xml:space="preserve">Western Midstream Partners LP (WES) - Owns and operates midstream pipelines in Rocky mountains, Texas, and North-Central PA.  Main business is gathering and treating oil &amp; gas.  Montana and Oregon included this company.  </t>
  </si>
  <si>
    <t>PRIVATE WATER COMPANIES</t>
  </si>
  <si>
    <t>Industry &gt; Private Water Companies</t>
  </si>
  <si>
    <t>*</t>
  </si>
  <si>
    <t>American States Water Company</t>
  </si>
  <si>
    <t>AWR</t>
  </si>
  <si>
    <t>Water Utility</t>
  </si>
  <si>
    <t>American Water Works Company Inc</t>
  </si>
  <si>
    <t>AWK</t>
  </si>
  <si>
    <t xml:space="preserve">California Water Service Group </t>
  </si>
  <si>
    <t>CWT</t>
  </si>
  <si>
    <t>Essential Utilities, Inc.</t>
  </si>
  <si>
    <t>WTRG</t>
  </si>
  <si>
    <t>Middlesex Water Company</t>
  </si>
  <si>
    <t>MSEX</t>
  </si>
  <si>
    <t>SJW Corporation</t>
  </si>
  <si>
    <t>SJW</t>
  </si>
  <si>
    <t>The York Water Company</t>
  </si>
  <si>
    <t>YORW</t>
  </si>
  <si>
    <t>57.22% - 88.69%</t>
  </si>
  <si>
    <t>11.31% - 42.73%</t>
  </si>
  <si>
    <t>S&amp;P Bond</t>
  </si>
  <si>
    <t>Mergent</t>
  </si>
  <si>
    <t>A / A-</t>
  </si>
  <si>
    <t>A2 / A3</t>
  </si>
  <si>
    <t>0.65 - 0.95</t>
  </si>
  <si>
    <t>3.00% - 23.50%</t>
  </si>
  <si>
    <t>SJW Group Corporation</t>
  </si>
  <si>
    <t>49.78 - 188.86</t>
  </si>
  <si>
    <t>1.95 - 7.80</t>
  </si>
  <si>
    <t>18.91 - 38.81</t>
  </si>
  <si>
    <t>2.58% - 5.29%</t>
  </si>
  <si>
    <t>NOTE:  Aqua America Inc. change its name to Essential Utilities Inc in February 2020</t>
  </si>
  <si>
    <t>RAILROAD COMPANIES</t>
  </si>
  <si>
    <t>Industry &gt; Railroads</t>
  </si>
  <si>
    <t>10K / SEC / $ US</t>
  </si>
  <si>
    <t>Canadian National</t>
  </si>
  <si>
    <t>CNI</t>
  </si>
  <si>
    <t>Railroad</t>
  </si>
  <si>
    <t>Canadian Pacific</t>
  </si>
  <si>
    <t>CP</t>
  </si>
  <si>
    <t>CSX Corp</t>
  </si>
  <si>
    <t>CSX</t>
  </si>
  <si>
    <t>Norfolk Southern</t>
  </si>
  <si>
    <t>NSC</t>
  </si>
  <si>
    <t>Union Pacific Railroad</t>
  </si>
  <si>
    <t>UNP</t>
  </si>
  <si>
    <t xml:space="preserve">Preferred Stock </t>
  </si>
  <si>
    <t>79.09% - 88.31%</t>
  </si>
  <si>
    <t>11.69% - 20.91%</t>
  </si>
  <si>
    <t>CP completed acquisition of KCS on 12/14/21</t>
  </si>
  <si>
    <t>Industry &gt; Railroad Companies</t>
  </si>
  <si>
    <t>Union Pacific</t>
  </si>
  <si>
    <t>0.85 -  1.10</t>
  </si>
  <si>
    <t>22.00% - 24.00%</t>
  </si>
  <si>
    <t>A++ - B+</t>
  </si>
  <si>
    <t>A - BBB+</t>
  </si>
  <si>
    <t>A2 - Baa2</t>
  </si>
  <si>
    <t>37.60 - 297.71</t>
  </si>
  <si>
    <t>2.25 - 17.25</t>
  </si>
  <si>
    <t>16.71 - 18.26</t>
  </si>
  <si>
    <t>5.48% - 5.98%</t>
  </si>
  <si>
    <t>Companies excluded from this study include &gt;</t>
  </si>
  <si>
    <t>American Railcar Industries Inc -  Designer and manufacturer of railcars.  Not a railroad.</t>
  </si>
  <si>
    <t>GATX Corporation -  Railcar lessor.  Not a railroad.</t>
  </si>
  <si>
    <t>Genesee &amp; Wyoming- Removed, was sold to infastructure asset management firm Brookfield Infastructure in '19. No longer listed on stock indexes as separate entity.</t>
  </si>
  <si>
    <t>GreenBrier Companies Inc.  -  Designer, manufacturer, plus repairs of railcars.  Not a railroad.</t>
  </si>
  <si>
    <t>Trinity Industries Inc. -  Manufacturer of railcars and component parts.  Not a railroad.</t>
  </si>
  <si>
    <t>Kansas City Southern merged with CP in December 2021</t>
  </si>
  <si>
    <t>Table of Contents</t>
  </si>
  <si>
    <t>CapRate_AC P United</t>
  </si>
  <si>
    <t>S&amp;D_AC P United</t>
  </si>
  <si>
    <t>Debt_AC P United</t>
  </si>
  <si>
    <t>CF Multiples_AC P United</t>
  </si>
  <si>
    <t>CapRate_AC P Delta</t>
  </si>
  <si>
    <t>S&amp;D_AC P Delta</t>
  </si>
  <si>
    <t>Debt_AC P Delta</t>
  </si>
  <si>
    <t>CF Multiples_AC P Delta</t>
  </si>
  <si>
    <t>CapRate_AC P Skywest</t>
  </si>
  <si>
    <t>S&amp;D_AC P Skywest</t>
  </si>
  <si>
    <t>Debt_AC P Skywest</t>
  </si>
  <si>
    <t>CF Multiples_AC P Skywest</t>
  </si>
  <si>
    <t>CapRate_AC P American</t>
  </si>
  <si>
    <t>S&amp;D_AC P American</t>
  </si>
  <si>
    <t>Debt_AC P American</t>
  </si>
  <si>
    <t>CF Multiples_AC P American</t>
  </si>
  <si>
    <t>CapRate_AC P Southwest</t>
  </si>
  <si>
    <t>S&amp;D_AC P Southwest</t>
  </si>
  <si>
    <t>Debt_AC P Southwest</t>
  </si>
  <si>
    <t>CF Multiples_AC P Southwest</t>
  </si>
  <si>
    <t>CapRate_AC P ALL</t>
  </si>
  <si>
    <t>S&amp;D_AC P ALL</t>
  </si>
  <si>
    <t>Debt_AC P ALL</t>
  </si>
  <si>
    <t>CF Multiples_AC P ALL</t>
  </si>
  <si>
    <t>CapRate_AC F FEDEX</t>
  </si>
  <si>
    <t>S&amp;D_AC F FEDEX</t>
  </si>
  <si>
    <t>Debt_AC F FEDEX</t>
  </si>
  <si>
    <t>CF Multiples_AC F FEDEX</t>
  </si>
  <si>
    <t>CapRate_AC F UPS</t>
  </si>
  <si>
    <t>S&amp;D_AC F UPS</t>
  </si>
  <si>
    <t>Debt_AC F UPS</t>
  </si>
  <si>
    <t>CF Multiples_AC F UPS</t>
  </si>
  <si>
    <t>CapRate_AC F ALL</t>
  </si>
  <si>
    <t>S&amp;D_AC F ALL</t>
  </si>
  <si>
    <t>Debt_AC F ALL</t>
  </si>
  <si>
    <t>CF Multiples_AC F ALL</t>
  </si>
  <si>
    <t>CapRate_EU</t>
  </si>
  <si>
    <t>S&amp;D_EU</t>
  </si>
  <si>
    <t>Debt_EU</t>
  </si>
  <si>
    <t>CF Multiples_EU</t>
  </si>
  <si>
    <t>CapRate_EU WHOLESALE</t>
  </si>
  <si>
    <t>S&amp;D_EU WHOLESALE</t>
  </si>
  <si>
    <t>Debt_EU WHOLESALE</t>
  </si>
  <si>
    <t>CF Multiples_EU WHOLESALE</t>
  </si>
  <si>
    <t>CapRate_ GAS DIST</t>
  </si>
  <si>
    <t>S&amp;D_GAS DIST</t>
  </si>
  <si>
    <t>Debt_GAS DIST</t>
  </si>
  <si>
    <t>CF Multiples_GAS DIST</t>
  </si>
  <si>
    <t>CapRate_GP</t>
  </si>
  <si>
    <t>S&amp;D_GP</t>
  </si>
  <si>
    <t>Debt_GP</t>
  </si>
  <si>
    <t>CF Multiples_GP</t>
  </si>
  <si>
    <t>CapRate_LQ PL</t>
  </si>
  <si>
    <t>S&amp;D_LQ PL</t>
  </si>
  <si>
    <t>Debt_LQ PL</t>
  </si>
  <si>
    <t>CF Multiples_LQ PL</t>
  </si>
  <si>
    <t>CapRate_WATER</t>
  </si>
  <si>
    <t>S&amp;D_WATER</t>
  </si>
  <si>
    <t>Debt_WATER</t>
  </si>
  <si>
    <t>CF Multiples_WATER</t>
  </si>
  <si>
    <t>CapRate_RR</t>
  </si>
  <si>
    <t>S&amp;D_RR</t>
  </si>
  <si>
    <t>Debt_RR</t>
  </si>
  <si>
    <t>CF Multiples_RR</t>
  </si>
  <si>
    <t>AIR CARRIER - FREIGHT - FEDEX</t>
  </si>
  <si>
    <t>AIR CARRIER - FREIGHT - UPS</t>
  </si>
  <si>
    <t>AIR CARRIER - FREIGHT - ALL</t>
  </si>
  <si>
    <t>AIR CARRIER - PASSENGER - ALL</t>
  </si>
  <si>
    <t>AIR CARRIER - PASSENGER - UNITED</t>
  </si>
  <si>
    <t>AIR CARRIER - PASSENGER - DELTA</t>
  </si>
  <si>
    <t>AIR CARRIER - PASSENGER - SKYWEST</t>
  </si>
  <si>
    <t>AIR CARRIER - PASSENGER - AMERICAN</t>
  </si>
  <si>
    <t>AIR CARRIER - PASSENGER - SOUTHWEST</t>
  </si>
  <si>
    <t>ELECTRIC UTILITIES - 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</si>
</sst>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"/>
    <numFmt numFmtId="167" formatCode="0.0000"/>
    <numFmt numFmtId="168" formatCode="0.000%"/>
    <numFmt numFmtId="169" formatCode="0.000000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Helvetica Narrow Bold"/>
      <family val="2"/>
    </font>
    <font>
      <b/>
      <sz val="16"/>
      <color theme="1"/>
      <name val="Helvetica Narrow Bold"/>
      <family val="2"/>
    </font>
    <font>
      <b/>
      <sz val="9"/>
      <color theme="1"/>
      <name val="Helvetica Narrow Bold"/>
      <family val="2"/>
    </font>
    <font>
      <b/>
      <sz val="12"/>
      <color theme="1"/>
      <name val="Helvetica Narrow Bold"/>
      <family val="2"/>
    </font>
    <font>
      <b/>
      <sz val="12"/>
      <name val="Helvetica Narrow Bold"/>
      <family val="2"/>
    </font>
    <font>
      <b/>
      <i/>
      <sz val="10"/>
      <color theme="1"/>
      <name val="Helvetica Narrow Bold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Garamond"/>
      <family val="1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00"/>
      <name val="Inherit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CC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6"/>
      <color rgb="FF0000CC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Helvetica Narrow Bold"/>
      <family val="2"/>
    </font>
    <font>
      <b/>
      <i/>
      <sz val="10"/>
      <name val="Helvetica Narrow Bold"/>
    </font>
    <font>
      <b/>
      <sz val="12"/>
      <color rgb="FF0000CC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9"/>
      <name val="Helvetica Narrow Bold"/>
    </font>
    <font>
      <b/>
      <i/>
      <sz val="10"/>
      <color rgb="FF0000CC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8"/>
      <color rgb="FF0000CC"/>
      <name val="Calibri"/>
      <family val="2"/>
      <scheme val="minor"/>
    </font>
    <font>
      <b/>
      <sz val="11"/>
      <color rgb="FFFF0000"/>
      <name val="Helvetica Narrow Bold"/>
      <family val="2"/>
    </font>
    <font>
      <sz val="9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1"/>
      <name val="Helvetica Narrow Bold"/>
      <family val="2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3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38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0" fontId="9" fillId="0" borderId="0" xfId="3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10" fontId="5" fillId="0" borderId="0" xfId="3" applyNumberFormat="1" applyFont="1" applyFill="1"/>
    <xf numFmtId="10" fontId="3" fillId="0" borderId="0" xfId="3" applyNumberFormat="1" applyFont="1" applyFill="1"/>
    <xf numFmtId="0" fontId="9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0" fontId="5" fillId="0" borderId="0" xfId="3" applyNumberFormat="1" applyFont="1"/>
    <xf numFmtId="164" fontId="9" fillId="0" borderId="0" xfId="3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0" fontId="5" fillId="0" borderId="1" xfId="3" applyNumberFormat="1" applyFont="1" applyBorder="1"/>
    <xf numFmtId="10" fontId="3" fillId="0" borderId="1" xfId="3" applyNumberFormat="1" applyFont="1" applyFill="1" applyBorder="1"/>
    <xf numFmtId="10" fontId="5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165" fontId="10" fillId="0" borderId="0" xfId="1" applyNumberFormat="1" applyFont="1"/>
    <xf numFmtId="0" fontId="11" fillId="0" borderId="3" xfId="0" applyFont="1" applyBorder="1"/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0" xfId="0" applyFont="1" applyAlignment="1">
      <alignment horizontal="center"/>
    </xf>
    <xf numFmtId="15" fontId="13" fillId="0" borderId="0" xfId="0" quotePrefix="1" applyNumberFormat="1" applyFont="1" applyAlignment="1">
      <alignment horizontal="center"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/>
    <xf numFmtId="2" fontId="9" fillId="0" borderId="0" xfId="0" applyNumberFormat="1" applyFont="1" applyAlignment="1">
      <alignment horizontal="center"/>
    </xf>
    <xf numFmtId="3" fontId="16" fillId="0" borderId="0" xfId="0" applyNumberFormat="1" applyFont="1"/>
    <xf numFmtId="3" fontId="9" fillId="0" borderId="0" xfId="0" applyNumberFormat="1" applyFont="1"/>
    <xf numFmtId="0" fontId="17" fillId="0" borderId="1" xfId="0" applyFont="1" applyBorder="1"/>
    <xf numFmtId="0" fontId="17" fillId="0" borderId="0" xfId="0" applyFont="1"/>
    <xf numFmtId="0" fontId="3" fillId="0" borderId="1" xfId="0" applyFont="1" applyBorder="1"/>
    <xf numFmtId="165" fontId="5" fillId="0" borderId="1" xfId="1" applyNumberFormat="1" applyFont="1" applyFill="1" applyBorder="1"/>
    <xf numFmtId="165" fontId="9" fillId="0" borderId="1" xfId="1" applyNumberFormat="1" applyFont="1" applyFill="1" applyBorder="1"/>
    <xf numFmtId="165" fontId="5" fillId="0" borderId="5" xfId="1" applyNumberFormat="1" applyFont="1" applyFill="1" applyBorder="1"/>
    <xf numFmtId="3" fontId="9" fillId="0" borderId="1" xfId="0" applyNumberFormat="1" applyFont="1" applyBorder="1"/>
    <xf numFmtId="10" fontId="5" fillId="0" borderId="1" xfId="3" applyNumberFormat="1" applyFont="1" applyFill="1" applyBorder="1"/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18" fillId="0" borderId="0" xfId="0" applyFont="1"/>
    <xf numFmtId="165" fontId="3" fillId="0" borderId="0" xfId="0" applyNumberFormat="1" applyFont="1"/>
    <xf numFmtId="0" fontId="4" fillId="0" borderId="0" xfId="0" applyFont="1" applyAlignment="1">
      <alignment horizontal="right"/>
    </xf>
    <xf numFmtId="9" fontId="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9" xfId="1" applyNumberFormat="1" applyFont="1" applyFill="1" applyBorder="1"/>
    <xf numFmtId="0" fontId="5" fillId="0" borderId="10" xfId="0" applyFont="1" applyBorder="1"/>
    <xf numFmtId="165" fontId="3" fillId="0" borderId="11" xfId="1" applyNumberFormat="1" applyFont="1" applyFill="1" applyBorder="1"/>
    <xf numFmtId="0" fontId="21" fillId="0" borderId="0" xfId="0" applyFont="1"/>
    <xf numFmtId="0" fontId="8" fillId="0" borderId="1" xfId="0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0" fontId="22" fillId="0" borderId="0" xfId="3" applyNumberFormat="1" applyFont="1" applyFill="1"/>
    <xf numFmtId="0" fontId="22" fillId="0" borderId="0" xfId="0" applyFont="1" applyAlignment="1">
      <alignment horizontal="center"/>
    </xf>
    <xf numFmtId="10" fontId="22" fillId="0" borderId="0" xfId="3" applyNumberFormat="1" applyFont="1" applyFill="1" applyAlignment="1">
      <alignment horizontal="center"/>
    </xf>
    <xf numFmtId="10" fontId="3" fillId="0" borderId="0" xfId="3" applyNumberFormat="1" applyFont="1" applyFill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0" fontId="3" fillId="0" borderId="12" xfId="3" applyNumberFormat="1" applyFont="1" applyBorder="1"/>
    <xf numFmtId="0" fontId="0" fillId="0" borderId="12" xfId="0" applyBorder="1"/>
    <xf numFmtId="0" fontId="3" fillId="0" borderId="0" xfId="0" applyFont="1" applyAlignment="1">
      <alignment horizontal="right"/>
    </xf>
    <xf numFmtId="43" fontId="3" fillId="0" borderId="0" xfId="1" applyFont="1" applyAlignment="1">
      <alignment horizontal="right"/>
    </xf>
    <xf numFmtId="10" fontId="3" fillId="0" borderId="0" xfId="3" applyNumberFormat="1" applyFont="1" applyAlignment="1">
      <alignment horizontal="right"/>
    </xf>
    <xf numFmtId="43" fontId="3" fillId="0" borderId="0" xfId="1" applyFont="1"/>
    <xf numFmtId="10" fontId="3" fillId="0" borderId="0" xfId="3" applyNumberFormat="1" applyFont="1"/>
    <xf numFmtId="0" fontId="23" fillId="0" borderId="0" xfId="0" applyFont="1"/>
    <xf numFmtId="10" fontId="4" fillId="0" borderId="0" xfId="3" applyNumberFormat="1" applyFont="1"/>
    <xf numFmtId="0" fontId="24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22" fillId="0" borderId="12" xfId="0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0" fontId="3" fillId="0" borderId="12" xfId="3" applyNumberFormat="1" applyFont="1" applyBorder="1" applyAlignment="1">
      <alignment horizontal="center"/>
    </xf>
    <xf numFmtId="10" fontId="3" fillId="0" borderId="0" xfId="3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10" fontId="0" fillId="0" borderId="0" xfId="3" applyNumberFormat="1" applyFont="1"/>
    <xf numFmtId="165" fontId="5" fillId="0" borderId="0" xfId="1" applyNumberFormat="1" applyFont="1" applyFill="1"/>
    <xf numFmtId="165" fontId="9" fillId="0" borderId="0" xfId="1" applyNumberFormat="1" applyFont="1" applyFill="1"/>
    <xf numFmtId="165" fontId="3" fillId="0" borderId="0" xfId="1" applyNumberFormat="1" applyFont="1" applyFill="1" applyBorder="1"/>
    <xf numFmtId="165" fontId="3" fillId="0" borderId="6" xfId="1" applyNumberFormat="1" applyFont="1" applyFill="1" applyBorder="1"/>
    <xf numFmtId="0" fontId="5" fillId="0" borderId="7" xfId="0" applyFont="1" applyBorder="1"/>
    <xf numFmtId="165" fontId="3" fillId="0" borderId="8" xfId="1" applyNumberFormat="1" applyFont="1" applyFill="1" applyBorder="1"/>
    <xf numFmtId="10" fontId="5" fillId="0" borderId="0" xfId="3" applyNumberFormat="1" applyFont="1" applyAlignment="1">
      <alignment horizontal="center"/>
    </xf>
    <xf numFmtId="0" fontId="22" fillId="0" borderId="0" xfId="0" applyFont="1"/>
    <xf numFmtId="2" fontId="25" fillId="0" borderId="0" xfId="0" quotePrefix="1" applyNumberFormat="1" applyFont="1" applyAlignment="1">
      <alignment horizontal="center"/>
    </xf>
    <xf numFmtId="2" fontId="22" fillId="0" borderId="0" xfId="0" quotePrefix="1" applyNumberFormat="1" applyFont="1" applyAlignment="1">
      <alignment horizontal="center"/>
    </xf>
    <xf numFmtId="10" fontId="4" fillId="0" borderId="0" xfId="3" applyNumberFormat="1" applyFont="1" applyFill="1"/>
    <xf numFmtId="3" fontId="16" fillId="0" borderId="0" xfId="0" applyNumberFormat="1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10" fontId="3" fillId="0" borderId="0" xfId="3" applyNumberFormat="1" applyFont="1" applyFill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5" fontId="13" fillId="0" borderId="14" xfId="0" quotePrefix="1" applyNumberFormat="1" applyFont="1" applyBorder="1" applyAlignment="1">
      <alignment horizontal="center"/>
    </xf>
    <xf numFmtId="15" fontId="13" fillId="0" borderId="15" xfId="0" quotePrefix="1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Border="1"/>
    <xf numFmtId="0" fontId="3" fillId="0" borderId="16" xfId="0" applyFont="1" applyBorder="1"/>
    <xf numFmtId="165" fontId="5" fillId="0" borderId="0" xfId="1" applyNumberFormat="1" applyFont="1" applyFill="1" applyBorder="1"/>
    <xf numFmtId="165" fontId="9" fillId="0" borderId="0" xfId="1" applyNumberFormat="1" applyFont="1" applyFill="1" applyBorder="1"/>
    <xf numFmtId="10" fontId="5" fillId="0" borderId="0" xfId="3" applyNumberFormat="1" applyFont="1" applyFill="1" applyBorder="1"/>
    <xf numFmtId="10" fontId="5" fillId="0" borderId="17" xfId="3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0" fontId="3" fillId="0" borderId="18" xfId="0" applyFont="1" applyBorder="1"/>
    <xf numFmtId="165" fontId="5" fillId="0" borderId="22" xfId="1" applyNumberFormat="1" applyFont="1" applyFill="1" applyBorder="1"/>
    <xf numFmtId="10" fontId="5" fillId="0" borderId="19" xfId="3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2" fontId="22" fillId="0" borderId="0" xfId="0" applyNumberFormat="1" applyFont="1" applyAlignment="1">
      <alignment horizontal="left"/>
    </xf>
    <xf numFmtId="10" fontId="9" fillId="0" borderId="0" xfId="3" applyNumberFormat="1" applyFont="1" applyAlignment="1">
      <alignment horizontal="center"/>
    </xf>
    <xf numFmtId="167" fontId="10" fillId="0" borderId="0" xfId="0" applyNumberFormat="1" applyFont="1"/>
    <xf numFmtId="15" fontId="13" fillId="0" borderId="1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8" fillId="0" borderId="0" xfId="0" applyFont="1"/>
    <xf numFmtId="165" fontId="5" fillId="0" borderId="0" xfId="1" applyNumberFormat="1" applyFont="1"/>
    <xf numFmtId="165" fontId="29" fillId="0" borderId="0" xfId="1" applyNumberFormat="1" applyFont="1"/>
    <xf numFmtId="3" fontId="5" fillId="0" borderId="0" xfId="0" applyNumberFormat="1" applyFont="1"/>
    <xf numFmtId="168" fontId="5" fillId="0" borderId="0" xfId="3" applyNumberFormat="1" applyFont="1"/>
    <xf numFmtId="0" fontId="9" fillId="0" borderId="0" xfId="0" applyFont="1" applyAlignment="1">
      <alignment horizontal="right"/>
    </xf>
    <xf numFmtId="0" fontId="30" fillId="0" borderId="0" xfId="0" applyFont="1"/>
    <xf numFmtId="0" fontId="5" fillId="0" borderId="1" xfId="0" applyFont="1" applyBorder="1"/>
    <xf numFmtId="0" fontId="31" fillId="0" borderId="0" xfId="0" applyFont="1" applyAlignment="1">
      <alignment horizontal="right"/>
    </xf>
    <xf numFmtId="10" fontId="32" fillId="0" borderId="0" xfId="3" applyNumberFormat="1" applyFont="1"/>
    <xf numFmtId="0" fontId="3" fillId="0" borderId="7" xfId="0" applyFont="1" applyBorder="1"/>
    <xf numFmtId="165" fontId="28" fillId="0" borderId="0" xfId="1" applyNumberFormat="1" applyFont="1"/>
    <xf numFmtId="165" fontId="0" fillId="0" borderId="0" xfId="1" applyNumberFormat="1" applyFont="1"/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3" fillId="0" borderId="0" xfId="0" applyFont="1"/>
    <xf numFmtId="10" fontId="34" fillId="0" borderId="0" xfId="3" applyNumberFormat="1" applyFont="1"/>
    <xf numFmtId="15" fontId="0" fillId="0" borderId="0" xfId="0" applyNumberFormat="1" applyAlignment="1">
      <alignment horizontal="center"/>
    </xf>
    <xf numFmtId="0" fontId="35" fillId="0" borderId="23" xfId="0" applyFont="1" applyBorder="1" applyAlignment="1">
      <alignment horizontal="center"/>
    </xf>
    <xf numFmtId="2" fontId="3" fillId="0" borderId="0" xfId="0" applyNumberFormat="1" applyFont="1" applyAlignment="1">
      <alignment horizontal="right"/>
    </xf>
    <xf numFmtId="43" fontId="3" fillId="0" borderId="0" xfId="1" applyFont="1" applyAlignment="1"/>
    <xf numFmtId="10" fontId="22" fillId="0" borderId="0" xfId="3" applyNumberFormat="1" applyFont="1" applyAlignment="1">
      <alignment vertical="center"/>
    </xf>
    <xf numFmtId="10" fontId="22" fillId="0" borderId="0" xfId="3" applyNumberFormat="1" applyFont="1" applyFill="1" applyAlignment="1">
      <alignment vertical="center"/>
    </xf>
    <xf numFmtId="3" fontId="9" fillId="0" borderId="0" xfId="0" applyNumberFormat="1" applyFont="1" applyAlignment="1">
      <alignment horizontal="right"/>
    </xf>
    <xf numFmtId="0" fontId="9" fillId="0" borderId="0" xfId="0" applyFont="1"/>
    <xf numFmtId="165" fontId="9" fillId="0" borderId="0" xfId="1" applyNumberFormat="1" applyFont="1" applyFill="1" applyAlignment="1">
      <alignment horizontal="center"/>
    </xf>
    <xf numFmtId="10" fontId="9" fillId="0" borderId="0" xfId="3" applyNumberFormat="1" applyFont="1" applyFill="1"/>
    <xf numFmtId="0" fontId="0" fillId="3" borderId="13" xfId="0" applyFill="1" applyBorder="1"/>
    <xf numFmtId="10" fontId="5" fillId="3" borderId="14" xfId="3" applyNumberFormat="1" applyFont="1" applyFill="1" applyBorder="1"/>
    <xf numFmtId="0" fontId="0" fillId="3" borderId="15" xfId="0" applyFill="1" applyBorder="1"/>
    <xf numFmtId="0" fontId="0" fillId="3" borderId="16" xfId="0" applyFill="1" applyBorder="1"/>
    <xf numFmtId="10" fontId="5" fillId="3" borderId="0" xfId="3" applyNumberFormat="1" applyFont="1" applyFill="1" applyBorder="1"/>
    <xf numFmtId="0" fontId="0" fillId="3" borderId="17" xfId="0" applyFill="1" applyBorder="1"/>
    <xf numFmtId="10" fontId="5" fillId="3" borderId="12" xfId="3" applyNumberFormat="1" applyFont="1" applyFill="1" applyBorder="1"/>
    <xf numFmtId="0" fontId="5" fillId="3" borderId="16" xfId="0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5" fillId="0" borderId="25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26" xfId="1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9" fontId="4" fillId="3" borderId="1" xfId="3" applyFont="1" applyFill="1" applyBorder="1"/>
    <xf numFmtId="0" fontId="31" fillId="3" borderId="19" xfId="0" applyFont="1" applyFill="1" applyBorder="1"/>
    <xf numFmtId="165" fontId="3" fillId="0" borderId="24" xfId="1" applyNumberFormat="1" applyFont="1" applyFill="1" applyBorder="1"/>
    <xf numFmtId="0" fontId="9" fillId="0" borderId="25" xfId="0" applyFont="1" applyBorder="1"/>
    <xf numFmtId="165" fontId="3" fillId="0" borderId="26" xfId="1" applyNumberFormat="1" applyFont="1" applyFill="1" applyBorder="1"/>
    <xf numFmtId="9" fontId="4" fillId="0" borderId="0" xfId="3" applyFont="1" applyFill="1" applyBorder="1"/>
    <xf numFmtId="0" fontId="31" fillId="0" borderId="0" xfId="0" applyFont="1"/>
    <xf numFmtId="2" fontId="36" fillId="0" borderId="0" xfId="0" quotePrefix="1" applyNumberFormat="1" applyFont="1" applyAlignment="1">
      <alignment horizontal="center"/>
    </xf>
    <xf numFmtId="10" fontId="22" fillId="0" borderId="0" xfId="3" applyNumberFormat="1" applyFont="1" applyFill="1" applyAlignment="1">
      <alignment horizontal="right"/>
    </xf>
    <xf numFmtId="43" fontId="3" fillId="0" borderId="0" xfId="1" applyFont="1" applyFill="1" applyAlignment="1">
      <alignment horizontal="right"/>
    </xf>
    <xf numFmtId="43" fontId="3" fillId="0" borderId="0" xfId="1" applyFont="1" applyFill="1"/>
    <xf numFmtId="2" fontId="37" fillId="0" borderId="0" xfId="0" applyNumberFormat="1" applyFont="1"/>
    <xf numFmtId="10" fontId="3" fillId="0" borderId="12" xfId="3" applyNumberFormat="1" applyFont="1" applyFill="1" applyBorder="1"/>
    <xf numFmtId="0" fontId="38" fillId="0" borderId="0" xfId="0" applyFont="1"/>
    <xf numFmtId="0" fontId="39" fillId="0" borderId="0" xfId="0" applyFont="1"/>
    <xf numFmtId="2" fontId="27" fillId="0" borderId="0" xfId="0" applyNumberFormat="1" applyFont="1" applyAlignment="1">
      <alignment horizontal="center"/>
    </xf>
    <xf numFmtId="0" fontId="40" fillId="0" borderId="0" xfId="0" applyFont="1"/>
    <xf numFmtId="0" fontId="13" fillId="0" borderId="27" xfId="0" applyFont="1" applyBorder="1" applyAlignment="1">
      <alignment horizontal="center"/>
    </xf>
    <xf numFmtId="15" fontId="13" fillId="0" borderId="27" xfId="0" applyNumberFormat="1" applyFont="1" applyBorder="1" applyAlignment="1">
      <alignment horizontal="center"/>
    </xf>
    <xf numFmtId="15" fontId="13" fillId="0" borderId="27" xfId="0" quotePrefix="1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2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/>
    <xf numFmtId="0" fontId="5" fillId="0" borderId="16" xfId="0" applyFont="1" applyBorder="1"/>
    <xf numFmtId="0" fontId="3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3" fontId="9" fillId="0" borderId="27" xfId="0" applyNumberFormat="1" applyFont="1" applyBorder="1"/>
    <xf numFmtId="0" fontId="9" fillId="0" borderId="16" xfId="0" applyFont="1" applyBorder="1"/>
    <xf numFmtId="4" fontId="9" fillId="0" borderId="27" xfId="0" applyNumberFormat="1" applyFont="1" applyBorder="1" applyAlignment="1">
      <alignment horizontal="center"/>
    </xf>
    <xf numFmtId="0" fontId="5" fillId="0" borderId="18" xfId="0" applyFont="1" applyBorder="1"/>
    <xf numFmtId="0" fontId="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3" fontId="9" fillId="0" borderId="4" xfId="0" applyNumberFormat="1" applyFont="1" applyBorder="1"/>
    <xf numFmtId="0" fontId="28" fillId="0" borderId="1" xfId="0" applyFont="1" applyBorder="1"/>
    <xf numFmtId="0" fontId="17" fillId="0" borderId="13" xfId="0" applyFont="1" applyBorder="1"/>
    <xf numFmtId="0" fontId="17" fillId="0" borderId="14" xfId="0" applyFont="1" applyBorder="1"/>
    <xf numFmtId="0" fontId="0" fillId="0" borderId="14" xfId="0" applyBorder="1"/>
    <xf numFmtId="0" fontId="17" fillId="0" borderId="15" xfId="0" applyFont="1" applyBorder="1"/>
    <xf numFmtId="15" fontId="13" fillId="0" borderId="17" xfId="0" quotePrefix="1" applyNumberFormat="1" applyFont="1" applyBorder="1" applyAlignment="1">
      <alignment horizontal="center"/>
    </xf>
    <xf numFmtId="165" fontId="43" fillId="0" borderId="0" xfId="1" applyNumberFormat="1" applyFont="1" applyFill="1" applyBorder="1"/>
    <xf numFmtId="10" fontId="9" fillId="0" borderId="0" xfId="3" applyNumberFormat="1" applyFont="1" applyFill="1" applyBorder="1"/>
    <xf numFmtId="10" fontId="9" fillId="0" borderId="17" xfId="3" applyNumberFormat="1" applyFont="1" applyFill="1" applyBorder="1"/>
    <xf numFmtId="0" fontId="17" fillId="0" borderId="18" xfId="0" applyFont="1" applyBorder="1"/>
    <xf numFmtId="0" fontId="17" fillId="0" borderId="19" xfId="0" applyFont="1" applyBorder="1"/>
    <xf numFmtId="10" fontId="5" fillId="0" borderId="0" xfId="0" applyNumberFormat="1" applyFont="1" applyAlignment="1">
      <alignment horizontal="right"/>
    </xf>
    <xf numFmtId="43" fontId="3" fillId="0" borderId="0" xfId="0" applyNumberFormat="1" applyFont="1"/>
    <xf numFmtId="9" fontId="4" fillId="0" borderId="0" xfId="3" applyFont="1" applyFill="1" applyAlignment="1">
      <alignment horizontal="right"/>
    </xf>
    <xf numFmtId="9" fontId="5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22" fillId="0" borderId="0" xfId="0" applyFont="1" applyAlignment="1">
      <alignment horizontal="right" vertical="center"/>
    </xf>
    <xf numFmtId="2" fontId="3" fillId="0" borderId="0" xfId="0" applyNumberFormat="1" applyFont="1"/>
    <xf numFmtId="10" fontId="3" fillId="0" borderId="0" xfId="0" applyNumberFormat="1" applyFont="1"/>
    <xf numFmtId="0" fontId="44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15" fontId="13" fillId="0" borderId="3" xfId="0" applyNumberFormat="1" applyFont="1" applyBorder="1" applyAlignment="1">
      <alignment horizontal="center"/>
    </xf>
    <xf numFmtId="15" fontId="13" fillId="0" borderId="14" xfId="0" applyNumberFormat="1" applyFont="1" applyBorder="1" applyAlignment="1">
      <alignment horizontal="center"/>
    </xf>
    <xf numFmtId="15" fontId="13" fillId="0" borderId="3" xfId="0" quotePrefix="1" applyNumberFormat="1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22" fillId="0" borderId="16" xfId="0" applyFont="1" applyBorder="1"/>
    <xf numFmtId="4" fontId="9" fillId="0" borderId="4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7" fillId="0" borderId="3" xfId="0" applyFont="1" applyBorder="1"/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7" fillId="0" borderId="27" xfId="0" applyFont="1" applyBorder="1"/>
    <xf numFmtId="0" fontId="5" fillId="0" borderId="27" xfId="0" applyFont="1" applyBorder="1" applyAlignment="1">
      <alignment horizontal="center"/>
    </xf>
    <xf numFmtId="165" fontId="9" fillId="0" borderId="27" xfId="1" applyNumberFormat="1" applyFont="1" applyFill="1" applyBorder="1"/>
    <xf numFmtId="165" fontId="43" fillId="0" borderId="27" xfId="1" applyNumberFormat="1" applyFont="1" applyFill="1" applyBorder="1"/>
    <xf numFmtId="10" fontId="9" fillId="0" borderId="27" xfId="3" applyNumberFormat="1" applyFont="1" applyFill="1" applyBorder="1"/>
    <xf numFmtId="0" fontId="5" fillId="0" borderId="4" xfId="0" applyFont="1" applyBorder="1" applyAlignment="1">
      <alignment horizontal="center"/>
    </xf>
    <xf numFmtId="165" fontId="9" fillId="0" borderId="4" xfId="1" applyNumberFormat="1" applyFont="1" applyFill="1" applyBorder="1"/>
    <xf numFmtId="10" fontId="9" fillId="0" borderId="4" xfId="3" applyNumberFormat="1" applyFont="1" applyFill="1" applyBorder="1"/>
    <xf numFmtId="15" fontId="3" fillId="0" borderId="0" xfId="0" applyNumberFormat="1" applyFont="1" applyAlignment="1">
      <alignment horizont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4" borderId="0" xfId="0" applyFont="1" applyFill="1"/>
    <xf numFmtId="0" fontId="0" fillId="4" borderId="0" xfId="0" applyFill="1"/>
    <xf numFmtId="0" fontId="49" fillId="2" borderId="0" xfId="0" applyFont="1" applyFill="1"/>
    <xf numFmtId="0" fontId="48" fillId="2" borderId="0" xfId="0" applyFont="1" applyFill="1"/>
    <xf numFmtId="0" fontId="0" fillId="2" borderId="0" xfId="0" applyFill="1"/>
    <xf numFmtId="0" fontId="12" fillId="0" borderId="3" xfId="0" applyFont="1" applyBorder="1" applyAlignment="1">
      <alignment horizontal="center"/>
    </xf>
    <xf numFmtId="0" fontId="10" fillId="0" borderId="3" xfId="0" applyFont="1" applyBorder="1"/>
    <xf numFmtId="3" fontId="5" fillId="0" borderId="27" xfId="0" applyNumberFormat="1" applyFont="1" applyBorder="1" applyAlignment="1">
      <alignment horizontal="right" vertical="center"/>
    </xf>
    <xf numFmtId="165" fontId="17" fillId="0" borderId="0" xfId="1" applyNumberFormat="1" applyFont="1"/>
    <xf numFmtId="165" fontId="5" fillId="0" borderId="27" xfId="1" applyNumberFormat="1" applyFont="1" applyFill="1" applyBorder="1"/>
    <xf numFmtId="0" fontId="22" fillId="0" borderId="27" xfId="0" applyFont="1" applyBorder="1" applyAlignment="1">
      <alignment horizontal="center"/>
    </xf>
    <xf numFmtId="0" fontId="22" fillId="0" borderId="18" xfId="0" applyFont="1" applyBorder="1"/>
    <xf numFmtId="0" fontId="41" fillId="0" borderId="0" xfId="0" applyFont="1" applyAlignment="1">
      <alignment horizontal="center"/>
    </xf>
    <xf numFmtId="0" fontId="50" fillId="0" borderId="18" xfId="0" applyFont="1" applyBorder="1"/>
    <xf numFmtId="0" fontId="50" fillId="0" borderId="1" xfId="0" applyFont="1" applyBorder="1"/>
    <xf numFmtId="165" fontId="0" fillId="0" borderId="0" xfId="1" applyNumberFormat="1" applyFont="1" applyFill="1"/>
    <xf numFmtId="0" fontId="51" fillId="0" borderId="0" xfId="0" applyFont="1" applyAlignment="1">
      <alignment horizontal="right"/>
    </xf>
    <xf numFmtId="2" fontId="5" fillId="0" borderId="12" xfId="0" applyNumberFormat="1" applyFont="1" applyBorder="1" applyAlignment="1">
      <alignment horizontal="center"/>
    </xf>
    <xf numFmtId="0" fontId="49" fillId="0" borderId="31" xfId="0" applyFont="1" applyBorder="1"/>
    <xf numFmtId="0" fontId="0" fillId="0" borderId="32" xfId="0" applyBorder="1"/>
    <xf numFmtId="0" fontId="0" fillId="0" borderId="33" xfId="0" applyBorder="1"/>
    <xf numFmtId="0" fontId="49" fillId="0" borderId="24" xfId="0" applyFont="1" applyBorder="1"/>
    <xf numFmtId="0" fontId="0" fillId="0" borderId="26" xfId="0" applyBorder="1"/>
    <xf numFmtId="0" fontId="49" fillId="0" borderId="9" xfId="0" applyFont="1" applyBorder="1"/>
    <xf numFmtId="0" fontId="0" fillId="0" borderId="2" xfId="0" applyBorder="1"/>
    <xf numFmtId="0" fontId="0" fillId="0" borderId="11" xfId="0" applyBorder="1"/>
    <xf numFmtId="0" fontId="52" fillId="0" borderId="31" xfId="0" applyFont="1" applyBorder="1"/>
    <xf numFmtId="0" fontId="52" fillId="0" borderId="24" xfId="0" applyFont="1" applyBorder="1"/>
    <xf numFmtId="0" fontId="52" fillId="0" borderId="9" xfId="0" applyFont="1" applyBorder="1"/>
    <xf numFmtId="0" fontId="53" fillId="0" borderId="0" xfId="0" applyFont="1"/>
    <xf numFmtId="0" fontId="10" fillId="0" borderId="15" xfId="0" applyFont="1" applyBorder="1"/>
    <xf numFmtId="0" fontId="15" fillId="0" borderId="19" xfId="0" applyFont="1" applyBorder="1" applyAlignment="1">
      <alignment horizontal="center"/>
    </xf>
    <xf numFmtId="3" fontId="9" fillId="0" borderId="17" xfId="0" applyNumberFormat="1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4" xfId="0" applyFont="1" applyBorder="1"/>
    <xf numFmtId="0" fontId="1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8" fillId="0" borderId="0" xfId="0" applyFont="1"/>
    <xf numFmtId="10" fontId="4" fillId="0" borderId="0" xfId="0" applyNumberFormat="1" applyFont="1"/>
    <xf numFmtId="0" fontId="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10" fontId="48" fillId="0" borderId="0" xfId="3" applyNumberFormat="1" applyFont="1" applyFill="1"/>
    <xf numFmtId="10" fontId="0" fillId="0" borderId="0" xfId="3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0" fontId="5" fillId="0" borderId="12" xfId="0" applyFont="1" applyBorder="1" applyAlignment="1">
      <alignment horizontal="center"/>
    </xf>
    <xf numFmtId="10" fontId="22" fillId="0" borderId="12" xfId="3" applyNumberFormat="1" applyFont="1" applyBorder="1"/>
    <xf numFmtId="43" fontId="36" fillId="0" borderId="0" xfId="1" applyFont="1"/>
    <xf numFmtId="44" fontId="50" fillId="0" borderId="0" xfId="2" applyFont="1" applyFill="1" applyAlignment="1">
      <alignment horizontal="center"/>
    </xf>
    <xf numFmtId="2" fontId="50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0" fontId="17" fillId="0" borderId="0" xfId="3" applyNumberFormat="1" applyFont="1" applyFill="1" applyAlignment="1">
      <alignment horizontal="center"/>
    </xf>
    <xf numFmtId="10" fontId="50" fillId="0" borderId="0" xfId="3" applyNumberFormat="1" applyFont="1" applyFill="1" applyAlignment="1">
      <alignment horizontal="center"/>
    </xf>
    <xf numFmtId="0" fontId="54" fillId="0" borderId="0" xfId="0" applyFont="1"/>
    <xf numFmtId="0" fontId="48" fillId="0" borderId="0" xfId="0" applyFont="1" applyAlignment="1">
      <alignment horizontal="right" vertical="center"/>
    </xf>
    <xf numFmtId="44" fontId="1" fillId="0" borderId="0" xfId="2" applyFont="1" applyFill="1"/>
    <xf numFmtId="10" fontId="1" fillId="0" borderId="0" xfId="3" applyNumberFormat="1" applyFont="1" applyFill="1"/>
    <xf numFmtId="43" fontId="1" fillId="0" borderId="0" xfId="1" applyFont="1" applyFill="1"/>
    <xf numFmtId="0" fontId="43" fillId="0" borderId="0" xfId="0" applyFont="1"/>
    <xf numFmtId="0" fontId="36" fillId="0" borderId="0" xfId="0" applyFont="1" applyAlignment="1">
      <alignment horizontal="center"/>
    </xf>
    <xf numFmtId="44" fontId="9" fillId="0" borderId="0" xfId="2" applyFont="1" applyAlignment="1">
      <alignment horizontal="center"/>
    </xf>
    <xf numFmtId="2" fontId="4" fillId="0" borderId="0" xfId="0" applyNumberFormat="1" applyFont="1" applyAlignment="1">
      <alignment horizontal="center"/>
    </xf>
    <xf numFmtId="10" fontId="53" fillId="0" borderId="0" xfId="3" applyNumberFormat="1" applyFont="1" applyFill="1"/>
    <xf numFmtId="0" fontId="55" fillId="0" borderId="0" xfId="0" applyFont="1"/>
    <xf numFmtId="0" fontId="56" fillId="0" borderId="0" xfId="0" applyFont="1"/>
    <xf numFmtId="0" fontId="57" fillId="0" borderId="0" xfId="0" applyFont="1"/>
    <xf numFmtId="165" fontId="58" fillId="0" borderId="0" xfId="1" applyNumberFormat="1" applyFont="1"/>
    <xf numFmtId="0" fontId="12" fillId="0" borderId="2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16" fillId="0" borderId="27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/>
    <xf numFmtId="0" fontId="9" fillId="0" borderId="18" xfId="0" applyFont="1" applyBorder="1"/>
    <xf numFmtId="0" fontId="9" fillId="0" borderId="0" xfId="0" applyFont="1" applyAlignment="1">
      <alignment horizontal="left"/>
    </xf>
    <xf numFmtId="3" fontId="5" fillId="0" borderId="1" xfId="0" applyNumberFormat="1" applyFont="1" applyBorder="1"/>
    <xf numFmtId="10" fontId="53" fillId="0" borderId="0" xfId="0" applyNumberFormat="1" applyFont="1"/>
    <xf numFmtId="43" fontId="3" fillId="0" borderId="0" xfId="1" applyFont="1" applyFill="1" applyAlignment="1">
      <alignment horizontal="center"/>
    </xf>
    <xf numFmtId="0" fontId="59" fillId="0" borderId="2" xfId="0" applyFont="1" applyBorder="1" applyAlignment="1">
      <alignment horizontal="center"/>
    </xf>
    <xf numFmtId="2" fontId="9" fillId="0" borderId="0" xfId="2" applyNumberFormat="1" applyFont="1" applyFill="1" applyAlignment="1">
      <alignment horizontal="center"/>
    </xf>
    <xf numFmtId="2" fontId="3" fillId="0" borderId="0" xfId="2" applyNumberFormat="1" applyFont="1" applyFill="1"/>
    <xf numFmtId="0" fontId="38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3" fontId="62" fillId="0" borderId="0" xfId="0" applyNumberFormat="1" applyFont="1" applyAlignment="1">
      <alignment horizontal="right"/>
    </xf>
    <xf numFmtId="165" fontId="5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43" fontId="3" fillId="0" borderId="0" xfId="1" applyFont="1" applyFill="1" applyAlignment="1">
      <alignment horizontal="right" vertical="center"/>
    </xf>
    <xf numFmtId="10" fontId="3" fillId="0" borderId="0" xfId="0" applyNumberFormat="1" applyFont="1" applyAlignment="1">
      <alignment horizontal="right"/>
    </xf>
    <xf numFmtId="0" fontId="27" fillId="0" borderId="0" xfId="0" applyFont="1"/>
    <xf numFmtId="165" fontId="5" fillId="0" borderId="0" xfId="1" applyNumberFormat="1" applyFont="1" applyFill="1" applyBorder="1" applyAlignment="1">
      <alignment horizontal="right"/>
    </xf>
    <xf numFmtId="3" fontId="28" fillId="0" borderId="0" xfId="0" applyNumberFormat="1" applyFont="1"/>
    <xf numFmtId="3" fontId="0" fillId="0" borderId="0" xfId="0" applyNumberFormat="1"/>
    <xf numFmtId="169" fontId="17" fillId="0" borderId="0" xfId="0" applyNumberFormat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Fill="1" applyBorder="1"/>
    <xf numFmtId="165" fontId="3" fillId="0" borderId="0" xfId="1" applyNumberFormat="1" applyFont="1" applyFill="1"/>
    <xf numFmtId="168" fontId="0" fillId="0" borderId="0" xfId="3" applyNumberFormat="1" applyFont="1" applyFill="1" applyBorder="1"/>
    <xf numFmtId="0" fontId="27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10" fontId="64" fillId="0" borderId="0" xfId="3" applyNumberFormat="1" applyFont="1" applyFill="1"/>
    <xf numFmtId="0" fontId="65" fillId="0" borderId="0" xfId="0" applyFont="1" applyAlignment="1">
      <alignment horizontal="center"/>
    </xf>
    <xf numFmtId="43" fontId="3" fillId="0" borderId="0" xfId="1" applyFont="1" applyFill="1" applyAlignment="1"/>
    <xf numFmtId="0" fontId="66" fillId="0" borderId="0" xfId="0" applyFont="1"/>
    <xf numFmtId="0" fontId="67" fillId="0" borderId="0" xfId="0" applyFont="1"/>
    <xf numFmtId="0" fontId="68" fillId="0" borderId="0" xfId="4" quotePrefix="1"/>
    <xf numFmtId="3" fontId="5" fillId="0" borderId="27" xfId="0" applyNumberFormat="1" applyFont="1" applyBorder="1"/>
    <xf numFmtId="10" fontId="3" fillId="0" borderId="12" xfId="3" applyNumberFormat="1" applyFont="1" applyFill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3.xml"/><Relationship Id="rId76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74" Type="http://schemas.openxmlformats.org/officeDocument/2006/relationships/externalLink" Target="externalLinks/externalLink9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8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4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7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5.xml"/><Relationship Id="rId75" Type="http://schemas.openxmlformats.org/officeDocument/2006/relationships/externalLink" Target="externalLinks/externalLink10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Studies%20for%20Review/In%20Progress%20Studies/2022%20Cap%20Rate%20Study%20-%20Air%20Passenger%20Carriers%20Individual_WI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Private%20Water%20Utili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Railroads_W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Studies%20for%20Review/In%20Progress%20Studies/2022%20Cap%20Rate%20Study%20-%20Air%20Passenger%20Carriers_WI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Air%20Freight%20Carriers%20Individual_WI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Air%20Freight%20Carriers_WI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Electric%20Util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Electric%20Wholesale%20Merchant_WI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Gas%20Distribution%20Utili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Gas%20Pipelin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AP%20Rate%20Studies%20completed/Completed%20and%20Approved/2022%20Cap%20Rate%20Study%20-%20Liquid%20Pipelines_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Rate_AC P United"/>
      <sheetName val="S&amp;D_AC P United"/>
      <sheetName val="Debt_AC P United"/>
      <sheetName val="CF Multiples_AC P United"/>
      <sheetName val="CapRate_AC P Delta"/>
      <sheetName val="S&amp;D_AC P Delta"/>
      <sheetName val="Debt_AC P Delta"/>
      <sheetName val="CF Multiples_AC P Delta"/>
      <sheetName val="CapRate_AC P Skywest"/>
      <sheetName val="S&amp;D_AC P Skywest"/>
      <sheetName val="Debt_AC P Skywest"/>
      <sheetName val="CF Multiples_AC P Skywest"/>
      <sheetName val="CapRate_AC P American"/>
      <sheetName val="S&amp;D_AC P American"/>
      <sheetName val="Debt_AC P American"/>
      <sheetName val="CF Multiples_AC P American"/>
      <sheetName val="CapRate_AC P Southwest"/>
      <sheetName val="S&amp;D_AC P Southwest"/>
      <sheetName val="Debt_AC P Southwest"/>
      <sheetName val="CF Multiples_AC P Southwest"/>
    </sheetNames>
    <sheetDataSet>
      <sheetData sheetId="0"/>
      <sheetData sheetId="1">
        <row r="32">
          <cell r="I32">
            <v>0.26</v>
          </cell>
          <cell r="J32">
            <v>0.74</v>
          </cell>
        </row>
      </sheetData>
      <sheetData sheetId="2">
        <row r="17">
          <cell r="I17">
            <v>6.83E-2</v>
          </cell>
        </row>
      </sheetData>
      <sheetData sheetId="3">
        <row r="22">
          <cell r="F22">
            <v>0.31859999999999999</v>
          </cell>
        </row>
      </sheetData>
      <sheetData sheetId="4"/>
      <sheetData sheetId="5">
        <row r="33">
          <cell r="I33">
            <v>0.41</v>
          </cell>
          <cell r="J33">
            <v>0.59</v>
          </cell>
        </row>
      </sheetData>
      <sheetData sheetId="6">
        <row r="17">
          <cell r="I17">
            <v>3.3500000000000002E-2</v>
          </cell>
        </row>
      </sheetData>
      <sheetData sheetId="7">
        <row r="22">
          <cell r="F22">
            <v>0.23669999999999999</v>
          </cell>
        </row>
      </sheetData>
      <sheetData sheetId="8"/>
      <sheetData sheetId="9">
        <row r="33">
          <cell r="I33">
            <v>0.37</v>
          </cell>
          <cell r="J33">
            <v>0.63</v>
          </cell>
        </row>
      </sheetData>
      <sheetData sheetId="10">
        <row r="17">
          <cell r="I17">
            <v>3.3500000000000002E-2</v>
          </cell>
        </row>
      </sheetData>
      <sheetData sheetId="11">
        <row r="22">
          <cell r="F22">
            <v>0.3397</v>
          </cell>
        </row>
      </sheetData>
      <sheetData sheetId="12"/>
      <sheetData sheetId="13">
        <row r="33">
          <cell r="I33">
            <v>0.2</v>
          </cell>
          <cell r="J33">
            <v>0.8</v>
          </cell>
        </row>
      </sheetData>
      <sheetData sheetId="14">
        <row r="17">
          <cell r="I17">
            <v>8.3299999999999999E-2</v>
          </cell>
        </row>
      </sheetData>
      <sheetData sheetId="15">
        <row r="22">
          <cell r="F22">
            <v>0.33960000000000001</v>
          </cell>
        </row>
      </sheetData>
      <sheetData sheetId="16"/>
      <sheetData sheetId="17">
        <row r="33">
          <cell r="I33">
            <v>0.65</v>
          </cell>
          <cell r="J33">
            <v>0.35</v>
          </cell>
        </row>
      </sheetData>
      <sheetData sheetId="18">
        <row r="17">
          <cell r="I17">
            <v>3.3500000000000002E-2</v>
          </cell>
        </row>
      </sheetData>
      <sheetData sheetId="19">
        <row r="22">
          <cell r="F22">
            <v>0.1401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7">
          <cell r="G17">
            <v>103.44</v>
          </cell>
        </row>
        <row r="18">
          <cell r="G18">
            <v>188.86</v>
          </cell>
        </row>
        <row r="19">
          <cell r="G19">
            <v>71.86</v>
          </cell>
        </row>
        <row r="20">
          <cell r="G20">
            <v>53.69</v>
          </cell>
        </row>
        <row r="21">
          <cell r="G21">
            <v>120.3</v>
          </cell>
        </row>
        <row r="22">
          <cell r="G22">
            <v>73.2</v>
          </cell>
        </row>
        <row r="23">
          <cell r="G23">
            <v>49.78</v>
          </cell>
        </row>
        <row r="49">
          <cell r="H49">
            <v>0.74</v>
          </cell>
          <cell r="I49">
            <v>0.26</v>
          </cell>
        </row>
      </sheetData>
      <sheetData sheetId="3">
        <row r="24">
          <cell r="I24">
            <v>3.0200000000000001E-2</v>
          </cell>
        </row>
      </sheetData>
      <sheetData sheetId="4">
        <row r="28">
          <cell r="F28">
            <v>4.1300000000000003E-2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8">
          <cell r="G18">
            <v>122.86</v>
          </cell>
        </row>
        <row r="19">
          <cell r="G19">
            <v>71.94</v>
          </cell>
        </row>
        <row r="20">
          <cell r="G20">
            <v>37.6</v>
          </cell>
        </row>
        <row r="21">
          <cell r="G21">
            <v>297.70999999999998</v>
          </cell>
        </row>
        <row r="22">
          <cell r="G22">
            <v>251.77</v>
          </cell>
        </row>
        <row r="45">
          <cell r="I45">
            <v>0.81</v>
          </cell>
          <cell r="J45">
            <v>0.19</v>
          </cell>
        </row>
      </sheetData>
      <sheetData sheetId="3">
        <row r="21">
          <cell r="I21">
            <v>3.3500000000000002E-2</v>
          </cell>
        </row>
      </sheetData>
      <sheetData sheetId="4">
        <row r="26">
          <cell r="F26">
            <v>5.5599999999999997E-2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7">
          <cell r="G17">
            <v>52.1</v>
          </cell>
        </row>
        <row r="18">
          <cell r="G18">
            <v>187.04</v>
          </cell>
        </row>
        <row r="19">
          <cell r="G19">
            <v>17.96</v>
          </cell>
        </row>
        <row r="20">
          <cell r="G20">
            <v>39.08</v>
          </cell>
        </row>
        <row r="21">
          <cell r="G21">
            <v>14.24</v>
          </cell>
        </row>
        <row r="22">
          <cell r="G22">
            <v>39.299999999999997</v>
          </cell>
        </row>
        <row r="23">
          <cell r="G23">
            <v>42.84</v>
          </cell>
        </row>
        <row r="24">
          <cell r="G24">
            <v>21.85</v>
          </cell>
        </row>
        <row r="25">
          <cell r="G25">
            <v>43.78</v>
          </cell>
        </row>
        <row r="49">
          <cell r="I49">
            <v>0.41</v>
          </cell>
          <cell r="J49">
            <v>0.59</v>
          </cell>
        </row>
      </sheetData>
      <sheetData sheetId="3">
        <row r="25">
          <cell r="I25">
            <v>6.83E-2</v>
          </cell>
        </row>
      </sheetData>
      <sheetData sheetId="4">
        <row r="30">
          <cell r="F30">
            <v>0.27389999999999998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Rate_AC F FEDEX"/>
      <sheetName val="S&amp;D_AC F FEDEX"/>
      <sheetName val="Debt_AC F FEDEX"/>
      <sheetName val="CF Multiples_AC F FEDEX"/>
      <sheetName val="CapRate_AC F UPS"/>
      <sheetName val="S&amp;D_AC F UPS"/>
      <sheetName val="Debt_AC F UPS"/>
      <sheetName val="CF Multiples_AC F UPS"/>
    </sheetNames>
    <sheetDataSet>
      <sheetData sheetId="0"/>
      <sheetData sheetId="1">
        <row r="39">
          <cell r="I39">
            <v>0.6</v>
          </cell>
          <cell r="J39">
            <v>0.4</v>
          </cell>
        </row>
      </sheetData>
      <sheetData sheetId="2">
        <row r="17">
          <cell r="I17">
            <v>3.3500000000000002E-2</v>
          </cell>
        </row>
      </sheetData>
      <sheetData sheetId="3">
        <row r="22">
          <cell r="F22">
            <v>0.1255</v>
          </cell>
        </row>
      </sheetData>
      <sheetData sheetId="4"/>
      <sheetData sheetId="5">
        <row r="39">
          <cell r="I39">
            <v>0.87</v>
          </cell>
          <cell r="J39">
            <v>0.13</v>
          </cell>
        </row>
      </sheetData>
      <sheetData sheetId="6">
        <row r="17">
          <cell r="I17">
            <v>3.0200000000000001E-2</v>
          </cell>
        </row>
      </sheetData>
      <sheetData sheetId="7">
        <row r="22">
          <cell r="F22">
            <v>7.2499999999999995E-2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7">
          <cell r="G17">
            <v>29.38</v>
          </cell>
        </row>
        <row r="18">
          <cell r="G18">
            <v>94.12</v>
          </cell>
        </row>
        <row r="19">
          <cell r="G19">
            <v>258.64</v>
          </cell>
        </row>
        <row r="20">
          <cell r="G20">
            <v>214.34</v>
          </cell>
        </row>
        <row r="45">
          <cell r="I45">
            <v>0.6</v>
          </cell>
          <cell r="J45">
            <v>0.4</v>
          </cell>
        </row>
      </sheetData>
      <sheetData sheetId="3">
        <row r="20">
          <cell r="I20">
            <v>3.3500000000000002E-2</v>
          </cell>
        </row>
      </sheetData>
      <sheetData sheetId="4">
        <row r="25">
          <cell r="F25">
            <v>0.1608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7">
          <cell r="G17">
            <v>66.349999999999994</v>
          </cell>
        </row>
        <row r="18">
          <cell r="G18">
            <v>61.47</v>
          </cell>
        </row>
        <row r="19">
          <cell r="G19">
            <v>89.01</v>
          </cell>
        </row>
        <row r="20">
          <cell r="G20">
            <v>88.97</v>
          </cell>
        </row>
        <row r="21">
          <cell r="G21">
            <v>27.91</v>
          </cell>
        </row>
        <row r="22">
          <cell r="G22">
            <v>65.05</v>
          </cell>
        </row>
        <row r="23">
          <cell r="G23">
            <v>119.54</v>
          </cell>
        </row>
        <row r="24">
          <cell r="G24">
            <v>104.9</v>
          </cell>
        </row>
        <row r="25">
          <cell r="G25">
            <v>112.65</v>
          </cell>
        </row>
        <row r="26">
          <cell r="G26">
            <v>41.59</v>
          </cell>
        </row>
        <row r="27">
          <cell r="G27">
            <v>82.25</v>
          </cell>
        </row>
        <row r="28">
          <cell r="G28">
            <v>38.380000000000003</v>
          </cell>
        </row>
        <row r="29">
          <cell r="G29">
            <v>71.42</v>
          </cell>
        </row>
        <row r="30">
          <cell r="G30">
            <v>30.06</v>
          </cell>
        </row>
        <row r="31">
          <cell r="G31">
            <v>68.58</v>
          </cell>
        </row>
        <row r="32">
          <cell r="G32">
            <v>97.07</v>
          </cell>
        </row>
        <row r="65">
          <cell r="H65">
            <v>0.59</v>
          </cell>
          <cell r="I65">
            <v>0.41</v>
          </cell>
        </row>
      </sheetData>
      <sheetData sheetId="3">
        <row r="33">
          <cell r="I33">
            <v>3.3500000000000002E-2</v>
          </cell>
        </row>
      </sheetData>
      <sheetData sheetId="4">
        <row r="37">
          <cell r="F37">
            <v>0.1024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7">
          <cell r="G17">
            <v>41.19</v>
          </cell>
        </row>
        <row r="18">
          <cell r="G18">
            <v>43.08</v>
          </cell>
        </row>
        <row r="19">
          <cell r="G19">
            <v>68.58</v>
          </cell>
        </row>
        <row r="21">
          <cell r="G21">
            <v>22.77</v>
          </cell>
        </row>
        <row r="41">
          <cell r="H41">
            <v>0.48</v>
          </cell>
          <cell r="I41">
            <v>0.52</v>
          </cell>
        </row>
      </sheetData>
      <sheetData sheetId="3">
        <row r="19">
          <cell r="I19">
            <v>6.0699999999999997E-2</v>
          </cell>
        </row>
      </sheetData>
      <sheetData sheetId="4">
        <row r="26">
          <cell r="G26">
            <v>0.105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7">
          <cell r="G17">
            <v>104.77</v>
          </cell>
        </row>
        <row r="18">
          <cell r="G18">
            <v>70.569999999999993</v>
          </cell>
        </row>
        <row r="19">
          <cell r="G19">
            <v>27.91</v>
          </cell>
        </row>
        <row r="20">
          <cell r="G20">
            <v>65.05</v>
          </cell>
        </row>
        <row r="21">
          <cell r="G21">
            <v>82.25</v>
          </cell>
        </row>
        <row r="22">
          <cell r="G22">
            <v>41.06</v>
          </cell>
        </row>
        <row r="23">
          <cell r="G23">
            <v>27.61</v>
          </cell>
        </row>
        <row r="24">
          <cell r="G24">
            <v>48.78</v>
          </cell>
        </row>
        <row r="25">
          <cell r="G25">
            <v>77.59</v>
          </cell>
        </row>
        <row r="26">
          <cell r="G26">
            <v>26.12</v>
          </cell>
        </row>
        <row r="27">
          <cell r="G27">
            <v>70.05</v>
          </cell>
        </row>
        <row r="28">
          <cell r="G28">
            <v>65.22</v>
          </cell>
        </row>
        <row r="29">
          <cell r="G29">
            <v>97.07</v>
          </cell>
        </row>
      </sheetData>
      <sheetData sheetId="3">
        <row r="30">
          <cell r="I30">
            <v>3.3500000000000002E-2</v>
          </cell>
        </row>
      </sheetData>
      <sheetData sheetId="4">
        <row r="34">
          <cell r="G34">
            <v>0.10340000000000001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7">
          <cell r="G17">
            <v>27.48</v>
          </cell>
        </row>
        <row r="18">
          <cell r="G18">
            <v>49.41</v>
          </cell>
        </row>
        <row r="19">
          <cell r="G19">
            <v>8.23</v>
          </cell>
        </row>
        <row r="20">
          <cell r="G20">
            <v>6.89</v>
          </cell>
        </row>
        <row r="21">
          <cell r="G21">
            <v>21.96</v>
          </cell>
        </row>
        <row r="22">
          <cell r="G22">
            <v>15.86</v>
          </cell>
        </row>
        <row r="23">
          <cell r="G23">
            <v>58.76</v>
          </cell>
        </row>
        <row r="24">
          <cell r="G24">
            <v>46.54</v>
          </cell>
        </row>
        <row r="25">
          <cell r="G25">
            <v>26.04</v>
          </cell>
        </row>
        <row r="49">
          <cell r="H49">
            <v>0.53</v>
          </cell>
          <cell r="I49">
            <v>0.47</v>
          </cell>
        </row>
      </sheetData>
      <sheetData sheetId="3">
        <row r="25">
          <cell r="I25">
            <v>3.3500000000000002E-2</v>
          </cell>
        </row>
      </sheetData>
      <sheetData sheetId="4">
        <row r="29">
          <cell r="G29">
            <v>0.1152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CapRate"/>
      <sheetName val="S&amp;D"/>
      <sheetName val="Debt"/>
      <sheetName val="CF Multiples"/>
      <sheetName val="Info"/>
    </sheetNames>
    <sheetDataSet>
      <sheetData sheetId="0"/>
      <sheetData sheetId="1"/>
      <sheetData sheetId="2">
        <row r="15">
          <cell r="G15">
            <v>27.48</v>
          </cell>
        </row>
        <row r="17">
          <cell r="G17">
            <v>21.96</v>
          </cell>
        </row>
        <row r="18">
          <cell r="G18">
            <v>16.489999999999998</v>
          </cell>
        </row>
        <row r="19">
          <cell r="G19">
            <v>46.44</v>
          </cell>
        </row>
        <row r="20">
          <cell r="G20">
            <v>29.59</v>
          </cell>
        </row>
        <row r="22">
          <cell r="G22">
            <v>36.07</v>
          </cell>
        </row>
        <row r="23">
          <cell r="G23">
            <v>9.34</v>
          </cell>
        </row>
        <row r="44">
          <cell r="H44">
            <v>0.55000000000000004</v>
          </cell>
          <cell r="I44">
            <v>0.45</v>
          </cell>
        </row>
      </sheetData>
      <sheetData sheetId="3">
        <row r="25">
          <cell r="I25">
            <v>3.3500000000000002E-2</v>
          </cell>
        </row>
      </sheetData>
      <sheetData sheetId="4">
        <row r="29">
          <cell r="G29">
            <v>0.14119999999999999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8C28-9A91-4181-82BB-943C2A0C1431}">
  <dimension ref="A1:C66"/>
  <sheetViews>
    <sheetView topLeftCell="A36" workbookViewId="0">
      <selection activeCell="A47" sqref="A47"/>
    </sheetView>
  </sheetViews>
  <sheetFormatPr defaultRowHeight="15"/>
  <cols>
    <col min="1" max="1" width="27.42578125" style="372" bestFit="1" customWidth="1"/>
    <col min="2" max="2" width="9.140625" style="372"/>
    <col min="3" max="3" width="37" style="372" bestFit="1" customWidth="1"/>
    <col min="4" max="16384" width="9.140625" style="372"/>
  </cols>
  <sheetData>
    <row r="1" spans="1:3" ht="17.25">
      <c r="A1" s="371" t="s">
        <v>497</v>
      </c>
    </row>
    <row r="2" spans="1:3">
      <c r="A2" s="373"/>
    </row>
    <row r="3" spans="1:3">
      <c r="A3" s="373" t="s">
        <v>498</v>
      </c>
      <c r="C3" t="s">
        <v>566</v>
      </c>
    </row>
    <row r="4" spans="1:3">
      <c r="A4" s="373" t="s">
        <v>499</v>
      </c>
      <c r="C4" t="s">
        <v>566</v>
      </c>
    </row>
    <row r="5" spans="1:3">
      <c r="A5" s="373" t="s">
        <v>500</v>
      </c>
      <c r="C5" t="s">
        <v>566</v>
      </c>
    </row>
    <row r="6" spans="1:3">
      <c r="A6" s="373" t="s">
        <v>501</v>
      </c>
      <c r="C6" t="s">
        <v>566</v>
      </c>
    </row>
    <row r="7" spans="1:3">
      <c r="A7" s="373" t="s">
        <v>502</v>
      </c>
      <c r="C7" t="s">
        <v>567</v>
      </c>
    </row>
    <row r="8" spans="1:3">
      <c r="A8" s="373" t="s">
        <v>503</v>
      </c>
      <c r="C8" t="s">
        <v>567</v>
      </c>
    </row>
    <row r="9" spans="1:3">
      <c r="A9" s="373" t="s">
        <v>504</v>
      </c>
      <c r="C9" t="s">
        <v>567</v>
      </c>
    </row>
    <row r="10" spans="1:3">
      <c r="A10" s="373" t="s">
        <v>505</v>
      </c>
      <c r="C10" t="s">
        <v>567</v>
      </c>
    </row>
    <row r="11" spans="1:3">
      <c r="A11" s="373" t="s">
        <v>506</v>
      </c>
      <c r="C11" t="s">
        <v>568</v>
      </c>
    </row>
    <row r="12" spans="1:3">
      <c r="A12" s="373" t="s">
        <v>507</v>
      </c>
      <c r="C12" t="s">
        <v>568</v>
      </c>
    </row>
    <row r="13" spans="1:3">
      <c r="A13" s="373" t="s">
        <v>508</v>
      </c>
      <c r="C13" t="s">
        <v>568</v>
      </c>
    </row>
    <row r="14" spans="1:3">
      <c r="A14" s="373" t="s">
        <v>509</v>
      </c>
      <c r="C14" t="s">
        <v>568</v>
      </c>
    </row>
    <row r="15" spans="1:3">
      <c r="A15" s="373" t="s">
        <v>510</v>
      </c>
      <c r="C15" t="s">
        <v>569</v>
      </c>
    </row>
    <row r="16" spans="1:3">
      <c r="A16" s="373" t="s">
        <v>511</v>
      </c>
      <c r="C16" t="s">
        <v>569</v>
      </c>
    </row>
    <row r="17" spans="1:3">
      <c r="A17" s="373" t="s">
        <v>512</v>
      </c>
      <c r="C17" t="s">
        <v>569</v>
      </c>
    </row>
    <row r="18" spans="1:3">
      <c r="A18" s="373" t="s">
        <v>513</v>
      </c>
      <c r="C18" t="s">
        <v>569</v>
      </c>
    </row>
    <row r="19" spans="1:3">
      <c r="A19" s="373" t="s">
        <v>514</v>
      </c>
      <c r="C19" t="s">
        <v>570</v>
      </c>
    </row>
    <row r="20" spans="1:3">
      <c r="A20" s="373" t="s">
        <v>515</v>
      </c>
      <c r="C20" t="s">
        <v>570</v>
      </c>
    </row>
    <row r="21" spans="1:3">
      <c r="A21" s="373" t="s">
        <v>516</v>
      </c>
      <c r="C21" t="s">
        <v>570</v>
      </c>
    </row>
    <row r="22" spans="1:3">
      <c r="A22" s="373" t="s">
        <v>517</v>
      </c>
      <c r="C22" t="s">
        <v>570</v>
      </c>
    </row>
    <row r="23" spans="1:3">
      <c r="A23" s="373" t="s">
        <v>518</v>
      </c>
      <c r="C23" t="s">
        <v>565</v>
      </c>
    </row>
    <row r="24" spans="1:3">
      <c r="A24" s="373" t="s">
        <v>519</v>
      </c>
      <c r="C24" t="s">
        <v>565</v>
      </c>
    </row>
    <row r="25" spans="1:3">
      <c r="A25" s="373" t="s">
        <v>520</v>
      </c>
      <c r="C25" t="s">
        <v>565</v>
      </c>
    </row>
    <row r="26" spans="1:3">
      <c r="A26" s="373" t="s">
        <v>521</v>
      </c>
      <c r="C26" t="s">
        <v>565</v>
      </c>
    </row>
    <row r="27" spans="1:3">
      <c r="A27" s="373" t="s">
        <v>522</v>
      </c>
      <c r="C27" t="s">
        <v>562</v>
      </c>
    </row>
    <row r="28" spans="1:3">
      <c r="A28" s="373" t="s">
        <v>523</v>
      </c>
      <c r="C28" t="s">
        <v>562</v>
      </c>
    </row>
    <row r="29" spans="1:3">
      <c r="A29" s="373" t="s">
        <v>524</v>
      </c>
      <c r="C29" t="s">
        <v>562</v>
      </c>
    </row>
    <row r="30" spans="1:3">
      <c r="A30" s="373" t="s">
        <v>525</v>
      </c>
      <c r="C30" t="s">
        <v>562</v>
      </c>
    </row>
    <row r="31" spans="1:3">
      <c r="A31" s="373" t="s">
        <v>526</v>
      </c>
      <c r="C31" t="s">
        <v>563</v>
      </c>
    </row>
    <row r="32" spans="1:3">
      <c r="A32" s="373" t="s">
        <v>527</v>
      </c>
      <c r="C32" t="s">
        <v>563</v>
      </c>
    </row>
    <row r="33" spans="1:3">
      <c r="A33" s="373" t="s">
        <v>528</v>
      </c>
      <c r="C33" t="s">
        <v>563</v>
      </c>
    </row>
    <row r="34" spans="1:3">
      <c r="A34" s="373" t="s">
        <v>529</v>
      </c>
      <c r="C34" t="s">
        <v>563</v>
      </c>
    </row>
    <row r="35" spans="1:3">
      <c r="A35" s="373" t="s">
        <v>530</v>
      </c>
      <c r="C35" t="s">
        <v>564</v>
      </c>
    </row>
    <row r="36" spans="1:3">
      <c r="A36" s="373" t="s">
        <v>531</v>
      </c>
      <c r="C36" t="s">
        <v>564</v>
      </c>
    </row>
    <row r="37" spans="1:3">
      <c r="A37" s="373" t="s">
        <v>532</v>
      </c>
      <c r="C37" t="s">
        <v>564</v>
      </c>
    </row>
    <row r="38" spans="1:3">
      <c r="A38" s="373" t="s">
        <v>533</v>
      </c>
      <c r="C38" t="s">
        <v>564</v>
      </c>
    </row>
    <row r="39" spans="1:3">
      <c r="A39" s="373" t="s">
        <v>534</v>
      </c>
      <c r="C39" t="s">
        <v>176</v>
      </c>
    </row>
    <row r="40" spans="1:3">
      <c r="A40" s="373" t="s">
        <v>535</v>
      </c>
      <c r="C40" t="s">
        <v>176</v>
      </c>
    </row>
    <row r="41" spans="1:3">
      <c r="A41" s="373" t="s">
        <v>536</v>
      </c>
      <c r="C41" t="s">
        <v>176</v>
      </c>
    </row>
    <row r="42" spans="1:3">
      <c r="A42" s="373" t="s">
        <v>537</v>
      </c>
      <c r="C42" t="s">
        <v>176</v>
      </c>
    </row>
    <row r="43" spans="1:3">
      <c r="A43" s="373" t="s">
        <v>538</v>
      </c>
      <c r="C43" t="s">
        <v>571</v>
      </c>
    </row>
    <row r="44" spans="1:3">
      <c r="A44" s="373" t="s">
        <v>539</v>
      </c>
      <c r="C44" t="s">
        <v>571</v>
      </c>
    </row>
    <row r="45" spans="1:3">
      <c r="A45" s="373" t="s">
        <v>540</v>
      </c>
      <c r="C45" t="s">
        <v>571</v>
      </c>
    </row>
    <row r="46" spans="1:3">
      <c r="A46" s="373" t="s">
        <v>541</v>
      </c>
      <c r="C46" t="s">
        <v>571</v>
      </c>
    </row>
    <row r="47" spans="1:3">
      <c r="A47" s="373" t="s">
        <v>542</v>
      </c>
      <c r="C47" t="s">
        <v>275</v>
      </c>
    </row>
    <row r="48" spans="1:3">
      <c r="A48" s="373" t="s">
        <v>543</v>
      </c>
      <c r="C48" t="s">
        <v>275</v>
      </c>
    </row>
    <row r="49" spans="1:3">
      <c r="A49" s="373" t="s">
        <v>544</v>
      </c>
      <c r="C49" t="s">
        <v>275</v>
      </c>
    </row>
    <row r="50" spans="1:3">
      <c r="A50" s="373" t="s">
        <v>545</v>
      </c>
      <c r="C50" t="s">
        <v>275</v>
      </c>
    </row>
    <row r="51" spans="1:3">
      <c r="A51" s="373" t="s">
        <v>546</v>
      </c>
      <c r="C51" t="s">
        <v>334</v>
      </c>
    </row>
    <row r="52" spans="1:3">
      <c r="A52" s="373" t="s">
        <v>547</v>
      </c>
      <c r="C52" t="s">
        <v>334</v>
      </c>
    </row>
    <row r="53" spans="1:3">
      <c r="A53" s="373" t="s">
        <v>548</v>
      </c>
      <c r="C53" t="s">
        <v>334</v>
      </c>
    </row>
    <row r="54" spans="1:3">
      <c r="A54" s="373" t="s">
        <v>549</v>
      </c>
      <c r="C54" t="s">
        <v>334</v>
      </c>
    </row>
    <row r="55" spans="1:3">
      <c r="A55" s="373" t="s">
        <v>550</v>
      </c>
      <c r="C55" t="s">
        <v>381</v>
      </c>
    </row>
    <row r="56" spans="1:3">
      <c r="A56" s="373" t="s">
        <v>551</v>
      </c>
      <c r="C56" t="s">
        <v>381</v>
      </c>
    </row>
    <row r="57" spans="1:3">
      <c r="A57" s="373" t="s">
        <v>552</v>
      </c>
      <c r="C57" t="s">
        <v>381</v>
      </c>
    </row>
    <row r="58" spans="1:3">
      <c r="A58" s="373" t="s">
        <v>553</v>
      </c>
      <c r="C58" t="s">
        <v>381</v>
      </c>
    </row>
    <row r="59" spans="1:3">
      <c r="A59" s="373" t="s">
        <v>554</v>
      </c>
      <c r="C59" t="s">
        <v>429</v>
      </c>
    </row>
    <row r="60" spans="1:3">
      <c r="A60" s="373" t="s">
        <v>555</v>
      </c>
      <c r="C60" t="s">
        <v>429</v>
      </c>
    </row>
    <row r="61" spans="1:3">
      <c r="A61" s="373" t="s">
        <v>556</v>
      </c>
      <c r="C61" t="s">
        <v>429</v>
      </c>
    </row>
    <row r="62" spans="1:3">
      <c r="A62" s="373" t="s">
        <v>557</v>
      </c>
      <c r="C62" t="s">
        <v>429</v>
      </c>
    </row>
    <row r="63" spans="1:3">
      <c r="A63" s="373" t="s">
        <v>558</v>
      </c>
      <c r="C63" t="s">
        <v>461</v>
      </c>
    </row>
    <row r="64" spans="1:3">
      <c r="A64" s="373" t="s">
        <v>559</v>
      </c>
      <c r="C64" t="s">
        <v>461</v>
      </c>
    </row>
    <row r="65" spans="1:3">
      <c r="A65" s="373" t="s">
        <v>560</v>
      </c>
      <c r="C65" t="s">
        <v>461</v>
      </c>
    </row>
    <row r="66" spans="1:3">
      <c r="A66" s="373" t="s">
        <v>561</v>
      </c>
      <c r="C66" t="s">
        <v>461</v>
      </c>
    </row>
  </sheetData>
  <hyperlinks>
    <hyperlink ref="A3" location="'CapRate_AC P United'!A1" display="'CapRate_AC P United'!A1" xr:uid="{62586A37-2496-40A8-9674-3CC18EF9640D}"/>
    <hyperlink ref="A4" location="'S&amp;D_AC P United'!A1" display="'S&amp;D_AC P United'!A1" xr:uid="{3D6F0D75-B8DD-413C-8637-E7DC7C1B9650}"/>
    <hyperlink ref="A5" location="'Debt_AC P United'!A1" display="'Debt_AC P United'!A1" xr:uid="{58814C37-E819-4911-8A9A-D16CBD59B8FD}"/>
    <hyperlink ref="A6" location="'CF Multiples_AC P United'!A1" display="'CF Multiples_AC P United'!A1" xr:uid="{336D3A91-BBC6-4C09-835F-29EFA658022F}"/>
    <hyperlink ref="A7" location="'CapRate_AC P Delta'!A1" display="'CapRate_AC P Delta'!A1" xr:uid="{11ACC335-A7AC-4D44-8F03-3B46AF8D7FA1}"/>
    <hyperlink ref="A8" location="'S&amp;D_AC P Delta'!A1" display="'S&amp;D_AC P Delta'!A1" xr:uid="{74746703-62DA-486E-BED8-9589F47F4650}"/>
    <hyperlink ref="A9" location="'Debt_AC P Delta'!A1" display="'Debt_AC P Delta'!A1" xr:uid="{F10C5F5D-FDE0-4E43-9485-AF928359D779}"/>
    <hyperlink ref="A10" location="'CF Multiples_AC P Delta'!A1" display="'CF Multiples_AC P Delta'!A1" xr:uid="{D7620C82-8064-4FD4-BB53-62892FD17B5B}"/>
    <hyperlink ref="A11" location="'CapRate_AC P Skywest'!A1" display="'CapRate_AC P Skywest'!A1" xr:uid="{887F73F6-0977-4027-A5A5-4CDF9F673387}"/>
    <hyperlink ref="A12" location="'S&amp;D_AC P Skywest'!A1" display="'S&amp;D_AC P Skywest'!A1" xr:uid="{47F31FA5-A259-472C-B42B-3632C05D08A9}"/>
    <hyperlink ref="A13" location="'Debt_AC P Skywest'!A1" display="'Debt_AC P Skywest'!A1" xr:uid="{F2854450-50C4-4E30-8191-DD38AF920689}"/>
    <hyperlink ref="A14" location="'CF Multiples_AC P Skywest'!A1" display="'CF Multiples_AC P Skywest'!A1" xr:uid="{A703F846-7031-43FE-A50A-3CD7FF3194C0}"/>
    <hyperlink ref="A15" location="'CapRate_AC P American'!A1" display="'CapRate_AC P American'!A1" xr:uid="{A8EE5D0B-6AFD-445E-9B5A-33A4978152D2}"/>
    <hyperlink ref="A16" location="'S&amp;D_AC P American'!A1" display="'S&amp;D_AC P American'!A1" xr:uid="{6C38C615-00A8-4A19-8C87-5A1C2BDB6EB3}"/>
    <hyperlink ref="A17" location="'Debt_AC P American'!A1" display="'Debt_AC P American'!A1" xr:uid="{838F2D94-48E3-4838-82FA-58BFD0B95C6F}"/>
    <hyperlink ref="A18" location="'CF Multiples_AC P American'!A1" display="'CF Multiples_AC P American'!A1" xr:uid="{0C0EE94B-DA8A-413B-8F82-8DE68959D745}"/>
    <hyperlink ref="A19" location="'CapRate_AC P Southwest'!A1" display="'CapRate_AC P Southwest'!A1" xr:uid="{97BD1D46-9AD3-4EFD-8FD8-EAF79734A551}"/>
    <hyperlink ref="A20" location="'S&amp;D_AC P Southwest'!A1" display="'S&amp;D_AC P Southwest'!A1" xr:uid="{05164FC7-2543-455D-9CF5-2AFB98D98D8A}"/>
    <hyperlink ref="A21" location="'Debt_AC P Southwest'!A1" display="'Debt_AC P Southwest'!A1" xr:uid="{AA8D5F18-FBFC-4C54-BA83-BE91E0543CD8}"/>
    <hyperlink ref="A22" location="'CF Multiples_AC P Southwest'!A1" display="'CF Multiples_AC P Southwest'!A1" xr:uid="{9847F49F-A63B-42A3-9ED0-8A1A8F052022}"/>
    <hyperlink ref="A23" location="'CapRate_AC P ALL'!A1" display="'CapRate_AC P ALL'!A1" xr:uid="{0FEF6E71-68B7-4C1B-BFC6-FE60DA9667EA}"/>
    <hyperlink ref="A24" location="'S&amp;D_AC P ALL'!A1" display="'S&amp;D_AC P ALL'!A1" xr:uid="{561F120A-C643-4ACF-A9E8-92223B282539}"/>
    <hyperlink ref="A25" location="'Debt_AC P ALL'!A1" display="'Debt_AC P ALL'!A1" xr:uid="{A847CF3F-917D-4B1A-BA92-5DAAC65832A7}"/>
    <hyperlink ref="A26" location="'CF Multiples_AC P ALL'!A1" display="'CF Multiples_AC P ALL'!A1" xr:uid="{F72A125C-945E-48E4-BF4B-0D24A10E72F2}"/>
    <hyperlink ref="A27" location="'CapRate_AC F FEDEX'!A1" display="'CapRate_AC F FEDEX'!A1" xr:uid="{92047DE0-0728-4D90-BBAC-3B43AB74D697}"/>
    <hyperlink ref="A28" location="'S&amp;D_AC F FEDEX'!A1" display="'S&amp;D_AC F FEDEX'!A1" xr:uid="{7779B0D5-880B-402F-BC82-45CD936A99B5}"/>
    <hyperlink ref="A29" location="'Debt_AC F FEDEX'!A1" display="'Debt_AC F FEDEX'!A1" xr:uid="{D13D4536-7376-4D25-8FFF-C74BF7826451}"/>
    <hyperlink ref="A30" location="'CF Multiples_AC F FEDEX'!A1" display="'CF Multiples_AC F FEDEX'!A1" xr:uid="{0B5F3B6D-5516-4640-A272-E11CE006F04B}"/>
    <hyperlink ref="A31" location="'CapRate_AC F UPS'!A1" display="'CapRate_AC F UPS'!A1" xr:uid="{4EF7BDE5-D48F-4FC3-A28C-ED8E739F3DBD}"/>
    <hyperlink ref="A32" location="'S&amp;D_AC F UPS'!A1" display="'S&amp;D_AC F UPS'!A1" xr:uid="{2E9AEFA2-D359-4F43-971C-0CDF873EB714}"/>
    <hyperlink ref="A33" location="'Debt_AC F UPS'!A1" display="'Debt_AC F UPS'!A1" xr:uid="{3AF5A29B-5B1F-4193-80B5-2F474F452583}"/>
    <hyperlink ref="A34" location="'CF Multiples_AC F UPS'!A1" display="'CF Multiples_AC F UPS'!A1" xr:uid="{84E92360-656D-45B4-A9E1-DBCF25197B85}"/>
    <hyperlink ref="A35" location="'CapRate_AC F ALL'!A1" display="'CapRate_AC F ALL'!A1" xr:uid="{02AC73FE-92EF-4FD4-A10A-AFBA9E42FCE0}"/>
    <hyperlink ref="A36" location="'S&amp;D_AC F ALL'!A1" display="'S&amp;D_AC F ALL'!A1" xr:uid="{B982B6CC-4EF9-40A5-9B33-6C3E93737395}"/>
    <hyperlink ref="A37" location="'Debt_AC F ALL'!A1" display="'Debt_AC F ALL'!A1" xr:uid="{E3A67F02-98C3-4EBD-89C0-F7B5C3707972}"/>
    <hyperlink ref="A38" location="'CF Multiples_AC F ALL'!A1" display="'CF Multiples_AC F ALL'!A1" xr:uid="{E6267E1A-B3EC-459B-B8CA-B8F0DC27E416}"/>
    <hyperlink ref="A39" location="'CapRate_EU'!A1" display="'CapRate_EU'!A1" xr:uid="{DCD7D593-0C71-455F-890A-E157AAE70E3F}"/>
    <hyperlink ref="A40" location="'S&amp;D_EU'!A1" display="'S&amp;D_EU'!A1" xr:uid="{AEB9DA5C-737F-4370-ABAD-9E1C9489F7DC}"/>
    <hyperlink ref="A41" location="'Debt_EU'!A1" display="'Debt_EU'!A1" xr:uid="{EAA6966E-95F1-4E3E-936F-33202484B637}"/>
    <hyperlink ref="A42" location="'CF Multiples_EU'!A1" display="'CF Multiples_EU'!A1" xr:uid="{6D7405B3-A3C9-459C-B453-7E824CEA6179}"/>
    <hyperlink ref="A43" location="'CapRate_EU WHOLESALE'!A1" display="'CapRate_EU WHOLESALE'!A1" xr:uid="{2DD96AEF-D7ED-4F93-ABD2-EB16B8322D94}"/>
    <hyperlink ref="A44" location="'S&amp;D_EU WHOLESALE'!A1" display="'S&amp;D_EU WHOLESALE'!A1" xr:uid="{957C010B-6BD2-40CC-B8A9-710FA76EC11F}"/>
    <hyperlink ref="A45" location="'Debt_EU WHOLESALE'!A1" display="'Debt_EU WHOLESALE'!A1" xr:uid="{50C41371-9A6D-4A25-BCED-E8E537FCF59B}"/>
    <hyperlink ref="A46" location="'CF Multiples_EU WHOLESALE'!A1" display="'CF Multiples_EU WHOLESALE'!A1" xr:uid="{878AD95F-87BD-4CDA-A41A-C804A0E37F48}"/>
    <hyperlink ref="A47" location="'CapRate_ GAS DIST'!A1" display="'CapRate_ GAS DIST'!A1" xr:uid="{649EAD0E-966C-40FA-A588-D8C88DA0941B}"/>
    <hyperlink ref="A48" location="'S&amp;D_GAS DIST'!A1" display="'S&amp;D_GAS DIST'!A1" xr:uid="{70010496-A319-4571-AD2B-4D28F9C49542}"/>
    <hyperlink ref="A49" location="'Debt_GAS DIST'!A1" display="'Debt_GAS DIST'!A1" xr:uid="{CDB2EF84-119A-4EA8-B138-FA3DC2A9952B}"/>
    <hyperlink ref="A50" location="'CF Multiples_GAS DIST'!A1" display="'CF Multiples_GAS DIST'!A1" xr:uid="{432A741E-5601-4EE4-86C2-751CA0B8A758}"/>
    <hyperlink ref="A51" location="'CapRate_GP'!A1" display="'CapRate_GP'!A1" xr:uid="{F91852C6-3D9E-4D13-9C35-A3D94A91A197}"/>
    <hyperlink ref="A52" location="'S&amp;D_GP'!A1" display="'S&amp;D_GP'!A1" xr:uid="{DEE9D599-FF2B-4E31-9AFA-C17ACECBC9B9}"/>
    <hyperlink ref="A53" location="'Debt_GP'!A1" display="'Debt_GP'!A1" xr:uid="{4F328130-6A50-4483-89F2-2FFD4E9DD152}"/>
    <hyperlink ref="A54" location="'CF Multiples_GP'!A1" display="'CF Multiples_GP'!A1" xr:uid="{4B5245A4-CDB5-4762-9B83-717D8A39AFF1}"/>
    <hyperlink ref="A55" location="'CapRate_LQ PL'!A1" display="'CapRate_LQ PL'!A1" xr:uid="{57BD0761-F721-47C9-9F08-C439BDDF7BA1}"/>
    <hyperlink ref="A56" location="'S&amp;D_LQ PL'!A1" display="'S&amp;D_LQ PL'!A1" xr:uid="{299F69D3-E2A1-43A4-99AB-E3C98246A7CB}"/>
    <hyperlink ref="A57" location="'Debt_LQ PL'!A1" display="'Debt_LQ PL'!A1" xr:uid="{92251123-1EB2-4CC4-A024-5E4CED74FD17}"/>
    <hyperlink ref="A58" location="'CF Multiples_LQ PL'!A1" display="'CF Multiples_LQ PL'!A1" xr:uid="{B47D3D28-042F-4EE0-8E68-AC9C8C200CD1}"/>
    <hyperlink ref="A59" location="'CapRate_WATER'!A1" display="'CapRate_WATER'!A1" xr:uid="{AEDA8D00-305F-4983-A35D-BFA1F2024D85}"/>
    <hyperlink ref="A60" location="'S&amp;D_WATER'!A1" display="'S&amp;D_WATER'!A1" xr:uid="{1D615910-DD94-4862-9136-67E83739C327}"/>
    <hyperlink ref="A61" location="'Debt_WATER'!A1" display="'Debt_WATER'!A1" xr:uid="{147A628C-A6B9-4DF4-8776-34A2E414C190}"/>
    <hyperlink ref="A62" location="'CF Multiples_WATER'!A1" display="'CF Multiples_WATER'!A1" xr:uid="{3EB83476-498B-4DFC-97DC-C4F7986DF330}"/>
    <hyperlink ref="A63" location="'CapRate_RR'!A1" display="'CapRate_RR'!A1" xr:uid="{4AA99546-18A7-4574-93F2-00BD9D2D5F53}"/>
    <hyperlink ref="A64" location="'S&amp;D_RR'!A1" display="'S&amp;D_RR'!A1" xr:uid="{B0795EE7-A747-4F1A-876B-5C292A17A119}"/>
    <hyperlink ref="A65" location="'Debt_RR'!A1" display="'Debt_RR'!A1" xr:uid="{57732B2B-C671-47D4-89D6-766C6DCA1774}"/>
    <hyperlink ref="A66" location="'CF Multiples_RR'!A1" display="'CF Multiples_RR'!A1" xr:uid="{4F980052-1D40-4959-8A96-2B72B3A1DE8C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8EEB-4833-46AC-96BF-0DF2F717E22F}">
  <sheetPr codeName="Sheet10">
    <pageSetUpPr fitToPage="1"/>
  </sheetPr>
  <dimension ref="A1:G24"/>
  <sheetViews>
    <sheetView topLeftCell="A7" zoomScaleNormal="100" workbookViewId="0">
      <selection activeCell="A12" sqref="A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97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9">
        <f>'[1]S&amp;D_AC P Skywest'!I33</f>
        <v>0.37</v>
      </c>
      <c r="C18" s="101">
        <f>'[1]CF Multiples_AC P Skywest'!F22</f>
        <v>0.3397</v>
      </c>
      <c r="D18" s="2" t="s">
        <v>6</v>
      </c>
      <c r="E18" s="10">
        <f>+C18</f>
        <v>0.3397</v>
      </c>
      <c r="F18" s="11">
        <f>+E18*B18</f>
        <v>0.125689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9">
        <f>'[1]S&amp;D_AC P Skywest'!J33</f>
        <v>0.63</v>
      </c>
      <c r="C20" s="9">
        <f>'[1]Debt_AC P Skywest'!I17</f>
        <v>3.3500000000000002E-2</v>
      </c>
      <c r="D20" s="16">
        <v>0.26</v>
      </c>
      <c r="E20" s="10">
        <f>+C20*(1-D20)</f>
        <v>2.479E-2</v>
      </c>
      <c r="F20" s="11">
        <f>+B20*E20</f>
        <v>1.56177E-2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0.14130670000000001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0.14130000000000001</v>
      </c>
    </row>
  </sheetData>
  <pageMargins left="0.25" right="0.25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79363-7434-44F2-BD3C-DC66D6AF4954}">
  <sheetPr codeName="Sheet11">
    <pageSetUpPr fitToPage="1"/>
  </sheetPr>
  <dimension ref="A1:L42"/>
  <sheetViews>
    <sheetView topLeftCell="A4" zoomScale="70" zoomScaleNormal="70" zoomScalePageLayoutView="70" workbookViewId="0">
      <selection activeCell="A29" sqref="A29:XFD29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22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34"/>
      <c r="C11" s="34"/>
      <c r="F11" s="34"/>
      <c r="G11" s="34"/>
      <c r="H11" s="35" t="s">
        <v>23</v>
      </c>
      <c r="I11" s="35" t="s">
        <v>6</v>
      </c>
      <c r="J11" s="28"/>
    </row>
    <row r="12" spans="1:12" ht="15.75">
      <c r="A12" s="36"/>
      <c r="B12" s="36"/>
      <c r="C12" s="36"/>
      <c r="D12" s="376" t="s">
        <v>24</v>
      </c>
      <c r="E12" s="377"/>
      <c r="F12" s="37" t="s">
        <v>24</v>
      </c>
      <c r="G12" s="36"/>
      <c r="H12" s="36" t="s">
        <v>25</v>
      </c>
      <c r="I12" s="35" t="s">
        <v>23</v>
      </c>
      <c r="J12" s="35" t="s">
        <v>23</v>
      </c>
    </row>
    <row r="13" spans="1:12" ht="15.75">
      <c r="A13" s="36" t="s">
        <v>6</v>
      </c>
      <c r="B13" s="36" t="s">
        <v>26</v>
      </c>
      <c r="C13" s="36" t="s">
        <v>27</v>
      </c>
      <c r="D13" s="376" t="s">
        <v>28</v>
      </c>
      <c r="E13" s="377"/>
      <c r="F13" s="37" t="s">
        <v>29</v>
      </c>
      <c r="G13" s="35" t="s">
        <v>23</v>
      </c>
      <c r="H13" s="36" t="s">
        <v>30</v>
      </c>
      <c r="I13" s="38" t="s">
        <v>31</v>
      </c>
      <c r="J13" s="38" t="s">
        <v>32</v>
      </c>
    </row>
    <row r="14" spans="1:12" ht="16.5" thickBot="1">
      <c r="A14" s="39" t="s">
        <v>33</v>
      </c>
      <c r="B14" s="39" t="s">
        <v>34</v>
      </c>
      <c r="C14" s="39" t="s">
        <v>35</v>
      </c>
      <c r="D14" s="39" t="s">
        <v>36</v>
      </c>
      <c r="E14" s="39" t="s">
        <v>37</v>
      </c>
      <c r="F14" s="39" t="s">
        <v>28</v>
      </c>
      <c r="G14" s="39" t="s">
        <v>28</v>
      </c>
      <c r="H14" s="40" t="s">
        <v>92</v>
      </c>
      <c r="I14" s="39" t="s">
        <v>39</v>
      </c>
      <c r="J14" s="39" t="s">
        <v>39</v>
      </c>
    </row>
    <row r="15" spans="1:12" ht="15.75">
      <c r="A15" s="41" t="s">
        <v>40</v>
      </c>
      <c r="B15" s="41" t="s">
        <v>40</v>
      </c>
      <c r="C15" s="41" t="s">
        <v>40</v>
      </c>
      <c r="D15" s="41" t="s">
        <v>41</v>
      </c>
      <c r="E15" s="41" t="s">
        <v>41</v>
      </c>
      <c r="F15" s="41" t="s">
        <v>41</v>
      </c>
      <c r="G15" s="41" t="s">
        <v>41</v>
      </c>
      <c r="H15" s="41" t="s">
        <v>42</v>
      </c>
      <c r="I15" s="41" t="s">
        <v>42</v>
      </c>
      <c r="J15" s="41" t="s">
        <v>42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2" ht="15.75">
      <c r="A17" s="102" t="s">
        <v>98</v>
      </c>
      <c r="B17" s="70" t="s">
        <v>99</v>
      </c>
      <c r="C17" s="13" t="s">
        <v>76</v>
      </c>
      <c r="D17" s="13">
        <v>39.82</v>
      </c>
      <c r="E17" s="43">
        <v>39</v>
      </c>
      <c r="F17" s="43">
        <f t="shared" ref="F17" si="0">AVERAGE(D17,E17)</f>
        <v>39.409999999999997</v>
      </c>
      <c r="G17" s="43">
        <v>39.299999999999997</v>
      </c>
      <c r="H17" s="45">
        <f>82335970-31956047</f>
        <v>50379923</v>
      </c>
      <c r="I17" s="45">
        <v>0</v>
      </c>
      <c r="J17" s="45">
        <f>2717420000+391798000</f>
        <v>3109218000</v>
      </c>
    </row>
    <row r="18" spans="1:12" ht="16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2" ht="15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2" ht="15.7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2" ht="15.75">
      <c r="A21" s="47"/>
      <c r="B21" s="47"/>
      <c r="C21" s="47"/>
      <c r="D21" s="47"/>
      <c r="E21" s="35" t="s">
        <v>6</v>
      </c>
      <c r="F21" s="47"/>
      <c r="G21" s="47"/>
      <c r="H21" s="47"/>
      <c r="I21" s="47"/>
      <c r="J21" s="47"/>
      <c r="K21" s="47"/>
      <c r="L21" s="47"/>
    </row>
    <row r="22" spans="1:12" ht="15.75">
      <c r="A22" s="36"/>
      <c r="B22" s="36"/>
      <c r="C22" s="36"/>
      <c r="D22" s="35" t="s">
        <v>23</v>
      </c>
      <c r="E22" s="35" t="s">
        <v>23</v>
      </c>
      <c r="F22" s="35" t="s">
        <v>23</v>
      </c>
      <c r="G22" s="35" t="s">
        <v>23</v>
      </c>
      <c r="H22" s="35" t="s">
        <v>23</v>
      </c>
      <c r="I22" s="35" t="s">
        <v>23</v>
      </c>
      <c r="J22" s="35" t="s">
        <v>23</v>
      </c>
    </row>
    <row r="23" spans="1:12" ht="15.75">
      <c r="A23" s="36" t="s">
        <v>6</v>
      </c>
      <c r="B23" s="36" t="s">
        <v>26</v>
      </c>
      <c r="C23" s="36" t="s">
        <v>27</v>
      </c>
      <c r="D23" s="36" t="s">
        <v>25</v>
      </c>
      <c r="E23" s="38" t="s">
        <v>31</v>
      </c>
      <c r="F23" s="36" t="s">
        <v>46</v>
      </c>
      <c r="G23" s="38" t="s">
        <v>47</v>
      </c>
      <c r="H23" s="38" t="s">
        <v>48</v>
      </c>
      <c r="I23" s="38" t="s">
        <v>49</v>
      </c>
      <c r="J23" s="38" t="s">
        <v>50</v>
      </c>
    </row>
    <row r="24" spans="1:12" ht="16.5" thickBot="1">
      <c r="A24" s="39" t="s">
        <v>33</v>
      </c>
      <c r="B24" s="39" t="s">
        <v>34</v>
      </c>
      <c r="C24" s="39" t="s">
        <v>35</v>
      </c>
      <c r="D24" s="39" t="s">
        <v>51</v>
      </c>
      <c r="E24" s="39" t="s">
        <v>51</v>
      </c>
      <c r="F24" s="39" t="s">
        <v>51</v>
      </c>
      <c r="G24" s="39" t="s">
        <v>51</v>
      </c>
      <c r="H24" s="39" t="s">
        <v>52</v>
      </c>
      <c r="I24" s="39" t="s">
        <v>6</v>
      </c>
      <c r="J24" s="39" t="s">
        <v>6</v>
      </c>
    </row>
    <row r="25" spans="1:12" ht="15.75">
      <c r="A25" s="41" t="s">
        <v>40</v>
      </c>
      <c r="B25" s="41" t="s">
        <v>40</v>
      </c>
      <c r="C25" s="41" t="s">
        <v>40</v>
      </c>
      <c r="D25" s="41" t="s">
        <v>53</v>
      </c>
      <c r="E25" s="41" t="s">
        <v>42</v>
      </c>
      <c r="F25" s="41" t="s">
        <v>53</v>
      </c>
      <c r="G25" s="41" t="s">
        <v>42</v>
      </c>
      <c r="H25" s="41" t="s">
        <v>53</v>
      </c>
      <c r="I25" s="41" t="s">
        <v>53</v>
      </c>
      <c r="J25" s="41" t="s">
        <v>53</v>
      </c>
    </row>
    <row r="26" spans="1:12" ht="15.75">
      <c r="A26" s="36"/>
      <c r="B26" s="36"/>
      <c r="C26" s="36"/>
      <c r="D26" s="47"/>
      <c r="E26" s="47"/>
      <c r="G26" s="42"/>
      <c r="H26" s="42"/>
      <c r="I26" s="42"/>
      <c r="J26" s="42"/>
    </row>
    <row r="27" spans="1:12" ht="15.75">
      <c r="A27" s="22" t="str">
        <f>+A17</f>
        <v>Skywest Inc</v>
      </c>
      <c r="B27" s="3" t="str">
        <f>+B17</f>
        <v>SKYW</v>
      </c>
      <c r="C27" s="2" t="str">
        <f>+C17</f>
        <v>AirTrans</v>
      </c>
      <c r="D27" s="95">
        <f>+G17*(H17)</f>
        <v>1979930973.8999999</v>
      </c>
      <c r="E27" s="96">
        <f>(1/1)*I17</f>
        <v>0</v>
      </c>
      <c r="F27" s="97">
        <f>G41</f>
        <v>237160000</v>
      </c>
      <c r="G27" s="45">
        <f>(3132.1/3140.9)*J17</f>
        <v>3100506764.8763089</v>
      </c>
      <c r="H27" s="45">
        <f t="shared" ref="H27" si="1">+D27+E27+F27+G27</f>
        <v>5317597738.7763081</v>
      </c>
      <c r="I27" s="11">
        <f t="shared" ref="I27" si="2">+D27/H27</f>
        <v>0.37233560550513245</v>
      </c>
      <c r="J27" s="11">
        <f t="shared" ref="J27" si="3">(+F27+G27)/H27</f>
        <v>0.62766439449486766</v>
      </c>
    </row>
    <row r="28" spans="1:12">
      <c r="G28" s="3" t="s">
        <v>6</v>
      </c>
    </row>
    <row r="29" spans="1:12" ht="15.75">
      <c r="H29" s="54"/>
      <c r="I29" s="54"/>
      <c r="J29" s="54"/>
    </row>
    <row r="30" spans="1:12" ht="15.75">
      <c r="A30" s="22" t="s">
        <v>57</v>
      </c>
      <c r="H30" s="54" t="s">
        <v>58</v>
      </c>
      <c r="I30" s="11">
        <f>MEDIAN(I27:I27)</f>
        <v>0.37233560550513245</v>
      </c>
      <c r="J30" s="11">
        <f>MEDIAN(J27:J27)</f>
        <v>0.62766439449486766</v>
      </c>
    </row>
    <row r="31" spans="1:12" ht="15.75">
      <c r="A31" s="22" t="s">
        <v>59</v>
      </c>
      <c r="F31" s="55" t="s">
        <v>6</v>
      </c>
      <c r="G31" t="s">
        <v>6</v>
      </c>
      <c r="H31" s="54" t="s">
        <v>29</v>
      </c>
      <c r="I31" s="15">
        <f>AVERAGE(I27:I27)</f>
        <v>0.37233560550513245</v>
      </c>
      <c r="J31" s="15">
        <f>AVERAGE(J27:J27)</f>
        <v>0.62766439449486766</v>
      </c>
    </row>
    <row r="32" spans="1:12" ht="15.75">
      <c r="A32" s="22" t="s">
        <v>60</v>
      </c>
      <c r="C32" s="56"/>
      <c r="D32" s="57"/>
      <c r="H32" s="24"/>
      <c r="I32" s="24"/>
      <c r="J32" s="24"/>
    </row>
    <row r="33" spans="3:10" ht="21">
      <c r="F33" s="55" t="s">
        <v>6</v>
      </c>
      <c r="H33" s="58" t="s">
        <v>20</v>
      </c>
      <c r="I33" s="59">
        <v>0.37</v>
      </c>
      <c r="J33" s="59">
        <v>0.63</v>
      </c>
    </row>
    <row r="34" spans="3:10">
      <c r="C34" s="56"/>
    </row>
    <row r="35" spans="3:10" ht="15.75">
      <c r="C35" s="56" t="s">
        <v>6</v>
      </c>
      <c r="H35" t="s">
        <v>6</v>
      </c>
      <c r="I35" s="24"/>
      <c r="J35" s="24"/>
    </row>
    <row r="36" spans="3:10">
      <c r="C36" s="56"/>
    </row>
    <row r="37" spans="3:10">
      <c r="C37" s="56"/>
    </row>
    <row r="38" spans="3:10">
      <c r="C38" s="56" t="s">
        <v>6</v>
      </c>
      <c r="H38" t="s">
        <v>6</v>
      </c>
    </row>
    <row r="39" spans="3:10">
      <c r="C39" s="56"/>
    </row>
    <row r="40" spans="3:10">
      <c r="C40" s="56"/>
      <c r="D40" s="60" t="s">
        <v>95</v>
      </c>
      <c r="E40" s="61" t="s">
        <v>33</v>
      </c>
      <c r="F40" s="62" t="s">
        <v>62</v>
      </c>
      <c r="G40" s="62" t="s">
        <v>63</v>
      </c>
      <c r="H40" t="s">
        <v>6</v>
      </c>
    </row>
    <row r="41" spans="3:10" ht="18" customHeight="1">
      <c r="D41" s="63">
        <f>(89891+4468)*1000</f>
        <v>94359000</v>
      </c>
      <c r="E41" s="64" t="str">
        <f>+A27</f>
        <v>Skywest Inc</v>
      </c>
      <c r="F41" s="65">
        <v>238516000</v>
      </c>
      <c r="G41" s="65">
        <f>(78886+158274)*1000</f>
        <v>237160000</v>
      </c>
    </row>
    <row r="42" spans="3:10" ht="18" customHeight="1"/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B9E7-91DF-477B-B008-2BD09AD3567E}">
  <sheetPr codeName="Sheet12">
    <pageSetUpPr fitToPage="1"/>
  </sheetPr>
  <dimension ref="A1:J17"/>
  <sheetViews>
    <sheetView zoomScaleNormal="100" workbookViewId="0">
      <selection activeCell="A13" sqref="A13:XFD13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66" t="s">
        <v>65</v>
      </c>
    </row>
    <row r="6" spans="1:10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6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</row>
    <row r="11" spans="1:10">
      <c r="A11" s="102" t="s">
        <v>98</v>
      </c>
      <c r="B11" s="70" t="s">
        <v>99</v>
      </c>
      <c r="C11" s="70" t="s">
        <v>76</v>
      </c>
      <c r="D11" s="68">
        <v>1.65</v>
      </c>
      <c r="E11" s="69">
        <v>0.25700000000000001</v>
      </c>
      <c r="F11" s="70" t="s">
        <v>78</v>
      </c>
      <c r="G11" s="103"/>
      <c r="H11" s="104" t="s">
        <v>100</v>
      </c>
      <c r="I11" s="72">
        <v>3.3500000000000002E-2</v>
      </c>
    </row>
    <row r="12" spans="1:10" ht="15.75" thickBot="1">
      <c r="A12" s="73" t="s">
        <v>6</v>
      </c>
      <c r="B12" s="74" t="s">
        <v>6</v>
      </c>
      <c r="C12" s="74" t="s">
        <v>6</v>
      </c>
      <c r="D12" s="74" t="s">
        <v>6</v>
      </c>
      <c r="E12" s="75" t="s">
        <v>6</v>
      </c>
      <c r="F12" s="74" t="s">
        <v>6</v>
      </c>
      <c r="G12" s="74" t="s">
        <v>6</v>
      </c>
      <c r="H12" s="75" t="s">
        <v>6</v>
      </c>
      <c r="I12" s="76"/>
    </row>
    <row r="13" spans="1:10" ht="15.75" thickTop="1">
      <c r="C13" s="77"/>
      <c r="D13" s="77"/>
      <c r="E13" s="77"/>
      <c r="F13" s="70"/>
      <c r="G13" s="68"/>
      <c r="H13" s="3"/>
      <c r="I13" s="77"/>
    </row>
    <row r="14" spans="1:10">
      <c r="C14" s="77" t="s">
        <v>58</v>
      </c>
      <c r="D14" s="78">
        <f>MEDIAN(D11:D11)</f>
        <v>1.65</v>
      </c>
      <c r="E14" s="79">
        <f>MEDIAN(E11:E11)</f>
        <v>0.25700000000000001</v>
      </c>
      <c r="F14" s="70" t="s">
        <v>80</v>
      </c>
      <c r="G14" s="68" t="s">
        <v>6</v>
      </c>
      <c r="H14" s="3" t="s">
        <v>81</v>
      </c>
      <c r="I14" s="79">
        <f>MEDIAN(I11:I11)</f>
        <v>3.3500000000000002E-2</v>
      </c>
    </row>
    <row r="15" spans="1:10">
      <c r="C15" s="77" t="s">
        <v>29</v>
      </c>
      <c r="D15" s="80">
        <f>AVERAGE(D11:D11)</f>
        <v>1.65</v>
      </c>
      <c r="E15" s="81">
        <f>AVERAGE(E11:E11)</f>
        <v>0.25700000000000001</v>
      </c>
      <c r="I15" s="81">
        <f>AVERAGE(I11:I11)</f>
        <v>3.3500000000000002E-2</v>
      </c>
    </row>
    <row r="16" spans="1:10">
      <c r="J16" s="82"/>
    </row>
    <row r="17" spans="8:10" ht="21">
      <c r="H17" s="58" t="s">
        <v>82</v>
      </c>
      <c r="I17" s="105">
        <v>3.3500000000000002E-2</v>
      </c>
      <c r="J17" s="8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2183-C55D-4B76-872C-3F167456BF56}">
  <sheetPr codeName="Sheet13">
    <pageSetUpPr fitToPage="1"/>
  </sheetPr>
  <dimension ref="A1:L32"/>
  <sheetViews>
    <sheetView topLeftCell="A8" zoomScaleNormal="100" workbookViewId="0">
      <selection activeCell="A18" sqref="A18:XFD18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66" t="s">
        <v>65</v>
      </c>
    </row>
    <row r="6" spans="1:12" ht="15.75">
      <c r="A6" s="66"/>
    </row>
    <row r="7" spans="1:12" ht="18.75">
      <c r="A7" s="66"/>
      <c r="D7" s="84" t="s">
        <v>83</v>
      </c>
    </row>
    <row r="8" spans="1:12" ht="18.75">
      <c r="A8" s="66"/>
      <c r="D8" s="84" t="s">
        <v>84</v>
      </c>
    </row>
    <row r="9" spans="1:12" ht="15.75">
      <c r="A9" s="66"/>
    </row>
    <row r="10" spans="1:12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12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12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12">
      <c r="A13" s="8" t="s">
        <v>6</v>
      </c>
      <c r="B13" s="8" t="s">
        <v>6</v>
      </c>
      <c r="C13" s="8" t="s">
        <v>40</v>
      </c>
      <c r="D13" s="8" t="s">
        <v>40</v>
      </c>
      <c r="E13" s="8" t="s">
        <v>6</v>
      </c>
      <c r="F13" s="8" t="s">
        <v>6</v>
      </c>
    </row>
    <row r="14" spans="1:12">
      <c r="A14" s="3"/>
      <c r="B14" s="3"/>
      <c r="C14" s="3"/>
      <c r="D14" s="3"/>
      <c r="E14" s="3"/>
      <c r="F14" s="3"/>
    </row>
    <row r="15" spans="1:12">
      <c r="K15" s="85"/>
      <c r="L15" s="85"/>
    </row>
    <row r="16" spans="1:12">
      <c r="A16" s="102" t="s">
        <v>98</v>
      </c>
      <c r="B16" s="70" t="s">
        <v>99</v>
      </c>
      <c r="C16" s="70">
        <v>39.299999999999997</v>
      </c>
      <c r="D16" s="68">
        <v>13.35</v>
      </c>
      <c r="E16" s="68">
        <f t="shared" ref="E16" si="0">C16/D16</f>
        <v>2.9438202247191012</v>
      </c>
      <c r="F16" s="71">
        <f t="shared" ref="F16" si="1">1/E16</f>
        <v>0.33969465648854963</v>
      </c>
      <c r="K16" s="85"/>
      <c r="L16" s="85"/>
    </row>
    <row r="17" spans="1:6" ht="15.75" thickBot="1">
      <c r="A17" s="73" t="s">
        <v>6</v>
      </c>
      <c r="B17" s="74" t="s">
        <v>6</v>
      </c>
      <c r="C17" s="87" t="s">
        <v>6</v>
      </c>
      <c r="D17" s="88" t="s">
        <v>6</v>
      </c>
      <c r="E17" s="89" t="s">
        <v>6</v>
      </c>
      <c r="F17" s="90" t="s">
        <v>6</v>
      </c>
    </row>
    <row r="18" spans="1:6" ht="15.75" thickTop="1">
      <c r="B18" s="3"/>
      <c r="C18" s="77"/>
      <c r="D18" s="77"/>
      <c r="E18" s="77"/>
      <c r="F18" s="77"/>
    </row>
    <row r="19" spans="1:6">
      <c r="B19" s="3" t="s">
        <v>58</v>
      </c>
      <c r="C19" s="86">
        <f>MEDIAN(C16:C16)</f>
        <v>39.299999999999997</v>
      </c>
      <c r="D19" s="86">
        <f>MEDIAN(D16:D16)</f>
        <v>13.35</v>
      </c>
      <c r="E19" s="86">
        <f>MEDIAN(E16:E16)</f>
        <v>2.9438202247191012</v>
      </c>
      <c r="F19" s="91">
        <f>MEDIAN(F16:F16)</f>
        <v>0.33969465648854963</v>
      </c>
    </row>
    <row r="20" spans="1:6">
      <c r="B20" s="3" t="s">
        <v>29</v>
      </c>
      <c r="C20" s="86">
        <f>AVERAGE(C16:C16)</f>
        <v>39.299999999999997</v>
      </c>
      <c r="D20" s="86">
        <f>AVERAGE(D16:D16)</f>
        <v>13.35</v>
      </c>
      <c r="E20" s="86">
        <f>AVERAGE(E16:E16)</f>
        <v>2.9438202247191012</v>
      </c>
      <c r="F20" s="91">
        <f>AVERAGE(F16:F16)</f>
        <v>0.33969465648854963</v>
      </c>
    </row>
    <row r="21" spans="1:6">
      <c r="B21" s="3"/>
      <c r="C21" s="86"/>
      <c r="D21" s="86"/>
      <c r="E21" s="86"/>
      <c r="F21" s="81"/>
    </row>
    <row r="22" spans="1:6" ht="21">
      <c r="B22" s="3"/>
      <c r="C22" s="86"/>
      <c r="D22" s="86"/>
      <c r="E22" s="92" t="s">
        <v>20</v>
      </c>
      <c r="F22" s="83">
        <v>0.3397</v>
      </c>
    </row>
    <row r="23" spans="1:6">
      <c r="B23" s="3"/>
      <c r="C23" s="93"/>
      <c r="D23" s="93"/>
      <c r="E23" s="93"/>
      <c r="F23" s="94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1B39F-A4DB-4387-83B9-77BC3C177953}">
  <sheetPr codeName="Sheet14">
    <pageSetUpPr fitToPage="1"/>
  </sheetPr>
  <dimension ref="A1:G24"/>
  <sheetViews>
    <sheetView topLeftCell="B6" zoomScaleNormal="100" workbookViewId="0">
      <selection activeCell="L12" sqref="L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104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9">
        <f>'[1]S&amp;D_AC P American'!I33</f>
        <v>0.2</v>
      </c>
      <c r="C18" s="10">
        <f>'[1]CF Multiples_AC P American'!F22</f>
        <v>0.33960000000000001</v>
      </c>
      <c r="D18" s="2" t="s">
        <v>6</v>
      </c>
      <c r="E18" s="10">
        <f>+C18</f>
        <v>0.33960000000000001</v>
      </c>
      <c r="F18" s="11">
        <f>+E18*B18</f>
        <v>6.7920000000000008E-2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9">
        <f>'[1]S&amp;D_AC P American'!J33</f>
        <v>0.8</v>
      </c>
      <c r="C20" s="9">
        <f>'[1]Debt_AC P American'!I17</f>
        <v>8.3299999999999999E-2</v>
      </c>
      <c r="D20" s="16">
        <v>0.26</v>
      </c>
      <c r="E20" s="10">
        <f>+C20*(1-D20)</f>
        <v>6.1641999999999995E-2</v>
      </c>
      <c r="F20" s="11">
        <f>+B20*E20</f>
        <v>4.9313599999999999E-2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0.11723360000000001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0.1172</v>
      </c>
    </row>
  </sheetData>
  <pageMargins left="0.25" right="0.25" top="0.75" bottom="0.75" header="0.3" footer="0.3"/>
  <pageSetup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4684-5B20-42C5-8AFB-8D82B7DE3C8B}">
  <sheetPr codeName="Sheet15">
    <pageSetUpPr fitToPage="1"/>
  </sheetPr>
  <dimension ref="A1:N41"/>
  <sheetViews>
    <sheetView topLeftCell="A5" zoomScale="70" zoomScaleNormal="70" zoomScalePageLayoutView="70" workbookViewId="0">
      <selection activeCell="G29" sqref="A29:XFD29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22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34"/>
      <c r="C11" s="34"/>
      <c r="F11" s="34"/>
      <c r="G11" s="34"/>
      <c r="H11" s="35" t="s">
        <v>23</v>
      </c>
      <c r="I11" s="35" t="s">
        <v>6</v>
      </c>
      <c r="J11" s="28"/>
    </row>
    <row r="12" spans="1:12" ht="15.75">
      <c r="A12" s="36"/>
      <c r="B12" s="36"/>
      <c r="C12" s="36"/>
      <c r="D12" s="376" t="s">
        <v>24</v>
      </c>
      <c r="E12" s="377"/>
      <c r="F12" s="37" t="s">
        <v>24</v>
      </c>
      <c r="G12" s="36"/>
      <c r="H12" s="36" t="s">
        <v>25</v>
      </c>
      <c r="I12" s="35" t="s">
        <v>23</v>
      </c>
      <c r="J12" s="35" t="s">
        <v>23</v>
      </c>
    </row>
    <row r="13" spans="1:12" ht="15.75">
      <c r="A13" s="36" t="s">
        <v>6</v>
      </c>
      <c r="B13" s="36" t="s">
        <v>26</v>
      </c>
      <c r="C13" s="36" t="s">
        <v>27</v>
      </c>
      <c r="D13" s="376" t="s">
        <v>28</v>
      </c>
      <c r="E13" s="377"/>
      <c r="F13" s="37" t="s">
        <v>29</v>
      </c>
      <c r="G13" s="35" t="s">
        <v>23</v>
      </c>
      <c r="H13" s="36" t="s">
        <v>30</v>
      </c>
      <c r="I13" s="38" t="s">
        <v>31</v>
      </c>
      <c r="J13" s="38" t="s">
        <v>32</v>
      </c>
    </row>
    <row r="14" spans="1:12" ht="16.5" thickBot="1">
      <c r="A14" s="39" t="s">
        <v>33</v>
      </c>
      <c r="B14" s="39" t="s">
        <v>34</v>
      </c>
      <c r="C14" s="39" t="s">
        <v>35</v>
      </c>
      <c r="D14" s="39" t="s">
        <v>36</v>
      </c>
      <c r="E14" s="39" t="s">
        <v>37</v>
      </c>
      <c r="F14" s="39" t="s">
        <v>28</v>
      </c>
      <c r="G14" s="39" t="s">
        <v>28</v>
      </c>
      <c r="H14" s="40" t="s">
        <v>92</v>
      </c>
      <c r="I14" s="39" t="s">
        <v>39</v>
      </c>
      <c r="J14" s="39" t="s">
        <v>39</v>
      </c>
    </row>
    <row r="15" spans="1:12" ht="15.75">
      <c r="A15" s="41" t="s">
        <v>40</v>
      </c>
      <c r="B15" s="41" t="s">
        <v>40</v>
      </c>
      <c r="C15" s="41" t="s">
        <v>40</v>
      </c>
      <c r="D15" s="41" t="s">
        <v>41</v>
      </c>
      <c r="E15" s="41" t="s">
        <v>41</v>
      </c>
      <c r="F15" s="41" t="s">
        <v>41</v>
      </c>
      <c r="G15" s="41" t="s">
        <v>41</v>
      </c>
      <c r="H15" s="41" t="s">
        <v>42</v>
      </c>
      <c r="I15" s="41" t="s">
        <v>42</v>
      </c>
      <c r="J15" s="41" t="s">
        <v>42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4" ht="15.75">
      <c r="A17" s="22" t="s">
        <v>105</v>
      </c>
      <c r="B17" s="3" t="s">
        <v>106</v>
      </c>
      <c r="C17" s="2" t="s">
        <v>45</v>
      </c>
      <c r="D17" s="13">
        <v>18.36</v>
      </c>
      <c r="E17" s="13">
        <v>17.93</v>
      </c>
      <c r="F17" s="43">
        <f t="shared" ref="F17" si="0">AVERAGE(D17,E17)</f>
        <v>18.145</v>
      </c>
      <c r="G17" s="13">
        <v>17.96</v>
      </c>
      <c r="H17" s="45">
        <v>647727595</v>
      </c>
      <c r="I17" s="45">
        <v>0</v>
      </c>
      <c r="J17" s="106">
        <f>35571000000+2489000000</f>
        <v>38060000000</v>
      </c>
      <c r="M17" s="107"/>
      <c r="N17" s="108"/>
    </row>
    <row r="18" spans="1:14" ht="16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4" ht="15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4" ht="15.7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4" ht="15.75">
      <c r="A21" s="47"/>
      <c r="B21" s="47"/>
      <c r="C21" s="47"/>
      <c r="D21" s="47"/>
      <c r="E21" s="35" t="s">
        <v>6</v>
      </c>
      <c r="F21" s="47"/>
      <c r="G21" s="47"/>
      <c r="H21" s="47"/>
      <c r="I21" s="47"/>
      <c r="J21" s="47"/>
      <c r="K21" s="47"/>
      <c r="L21" s="47"/>
    </row>
    <row r="22" spans="1:14" ht="15.75">
      <c r="A22" s="36"/>
      <c r="B22" s="36"/>
      <c r="C22" s="36"/>
      <c r="D22" s="35" t="s">
        <v>23</v>
      </c>
      <c r="E22" s="35" t="s">
        <v>23</v>
      </c>
      <c r="F22" s="35" t="s">
        <v>23</v>
      </c>
      <c r="G22" s="35" t="s">
        <v>23</v>
      </c>
      <c r="H22" s="35" t="s">
        <v>23</v>
      </c>
      <c r="I22" s="35" t="s">
        <v>23</v>
      </c>
      <c r="J22" s="35" t="s">
        <v>23</v>
      </c>
    </row>
    <row r="23" spans="1:14" ht="15.75">
      <c r="A23" s="36" t="s">
        <v>6</v>
      </c>
      <c r="B23" s="36" t="s">
        <v>26</v>
      </c>
      <c r="C23" s="36" t="s">
        <v>27</v>
      </c>
      <c r="D23" s="36" t="s">
        <v>25</v>
      </c>
      <c r="E23" s="38" t="s">
        <v>31</v>
      </c>
      <c r="F23" s="36" t="s">
        <v>46</v>
      </c>
      <c r="G23" s="38" t="s">
        <v>47</v>
      </c>
      <c r="H23" s="38" t="s">
        <v>48</v>
      </c>
      <c r="I23" s="38" t="s">
        <v>49</v>
      </c>
      <c r="J23" s="38" t="s">
        <v>50</v>
      </c>
    </row>
    <row r="24" spans="1:14" ht="16.5" thickBot="1">
      <c r="A24" s="39" t="s">
        <v>33</v>
      </c>
      <c r="B24" s="39" t="s">
        <v>34</v>
      </c>
      <c r="C24" s="39" t="s">
        <v>35</v>
      </c>
      <c r="D24" s="39" t="s">
        <v>51</v>
      </c>
      <c r="E24" s="39" t="s">
        <v>51</v>
      </c>
      <c r="F24" s="39" t="s">
        <v>51</v>
      </c>
      <c r="G24" s="39" t="s">
        <v>51</v>
      </c>
      <c r="H24" s="39" t="s">
        <v>52</v>
      </c>
      <c r="I24" s="39" t="s">
        <v>6</v>
      </c>
      <c r="J24" s="39" t="s">
        <v>6</v>
      </c>
    </row>
    <row r="25" spans="1:14" ht="15.75">
      <c r="A25" s="41" t="s">
        <v>40</v>
      </c>
      <c r="B25" s="41" t="s">
        <v>40</v>
      </c>
      <c r="C25" s="41" t="s">
        <v>40</v>
      </c>
      <c r="D25" s="41" t="s">
        <v>53</v>
      </c>
      <c r="E25" s="41" t="s">
        <v>42</v>
      </c>
      <c r="F25" s="41" t="s">
        <v>53</v>
      </c>
      <c r="G25" s="41" t="s">
        <v>42</v>
      </c>
      <c r="H25" s="41" t="s">
        <v>53</v>
      </c>
      <c r="I25" s="41" t="s">
        <v>53</v>
      </c>
      <c r="J25" s="41" t="s">
        <v>53</v>
      </c>
    </row>
    <row r="26" spans="1:14" ht="15.75">
      <c r="A26" s="36"/>
      <c r="B26" s="36"/>
      <c r="C26" s="36"/>
      <c r="D26" s="47"/>
      <c r="E26" s="47"/>
      <c r="G26" s="42"/>
      <c r="H26" s="42"/>
      <c r="I26" s="42"/>
      <c r="J26" s="42"/>
    </row>
    <row r="27" spans="1:14" ht="15.75">
      <c r="A27" s="22" t="str">
        <f>+A17</f>
        <v>American Airlines Group</v>
      </c>
      <c r="B27" s="3" t="str">
        <f>+B17</f>
        <v>AAL</v>
      </c>
      <c r="C27" s="2" t="str">
        <f>+C17</f>
        <v>Airtrans</v>
      </c>
      <c r="D27" s="95">
        <f>+G17*(H17)</f>
        <v>11633187606.200001</v>
      </c>
      <c r="E27" s="96">
        <f>(1/1)*I17</f>
        <v>0</v>
      </c>
      <c r="F27" s="97">
        <f>G41</f>
        <v>8117000000</v>
      </c>
      <c r="G27" s="45">
        <f>(38567/37323)*J17</f>
        <v>39328564692.012962</v>
      </c>
      <c r="H27" s="45">
        <f t="shared" ref="H27" si="1">+D27+E27+F27+G27</f>
        <v>59078752298.212967</v>
      </c>
      <c r="I27" s="11">
        <f t="shared" ref="I27" si="2">+D27/H27</f>
        <v>0.19690983904803766</v>
      </c>
      <c r="J27" s="11">
        <f t="shared" ref="J27" si="3">(+F27+G27)/H27</f>
        <v>0.80309016095196228</v>
      </c>
    </row>
    <row r="28" spans="1:14">
      <c r="G28" s="3" t="s">
        <v>6</v>
      </c>
    </row>
    <row r="29" spans="1:14" ht="15.75">
      <c r="H29" s="54"/>
      <c r="I29" s="54"/>
      <c r="J29" s="54"/>
    </row>
    <row r="30" spans="1:14" ht="15.75">
      <c r="A30" s="22" t="s">
        <v>57</v>
      </c>
      <c r="H30" s="54" t="s">
        <v>58</v>
      </c>
      <c r="I30" s="11">
        <f>MEDIAN(I27:I27)</f>
        <v>0.19690983904803766</v>
      </c>
      <c r="J30" s="11">
        <f>MEDIAN(J27:J27)</f>
        <v>0.80309016095196228</v>
      </c>
    </row>
    <row r="31" spans="1:14" ht="15.75">
      <c r="A31" s="22" t="s">
        <v>59</v>
      </c>
      <c r="F31" s="55" t="s">
        <v>6</v>
      </c>
      <c r="G31" t="s">
        <v>6</v>
      </c>
      <c r="H31" s="54" t="s">
        <v>29</v>
      </c>
      <c r="I31" s="15">
        <f>AVERAGE(I27:I27)</f>
        <v>0.19690983904803766</v>
      </c>
      <c r="J31" s="15">
        <f>AVERAGE(J27:J27)</f>
        <v>0.80309016095196228</v>
      </c>
    </row>
    <row r="32" spans="1:14" ht="15.75">
      <c r="A32" s="22" t="s">
        <v>60</v>
      </c>
      <c r="C32" s="56"/>
      <c r="D32" s="57"/>
      <c r="H32" s="24"/>
      <c r="I32" s="24"/>
      <c r="J32" s="24"/>
    </row>
    <row r="33" spans="3:10" ht="21">
      <c r="F33" s="55" t="s">
        <v>6</v>
      </c>
      <c r="H33" s="58" t="s">
        <v>20</v>
      </c>
      <c r="I33" s="59">
        <v>0.2</v>
      </c>
      <c r="J33" s="59">
        <v>0.8</v>
      </c>
    </row>
    <row r="34" spans="3:10">
      <c r="C34" s="56"/>
    </row>
    <row r="35" spans="3:10" ht="15.75">
      <c r="C35" s="56" t="s">
        <v>6</v>
      </c>
      <c r="H35" t="s">
        <v>6</v>
      </c>
      <c r="I35" s="24"/>
      <c r="J35" s="24"/>
    </row>
    <row r="36" spans="3:10">
      <c r="C36" s="56"/>
    </row>
    <row r="37" spans="3:10">
      <c r="C37" s="56"/>
    </row>
    <row r="38" spans="3:10">
      <c r="C38" s="56" t="s">
        <v>6</v>
      </c>
      <c r="H38" t="s">
        <v>6</v>
      </c>
    </row>
    <row r="39" spans="3:10">
      <c r="C39" s="56"/>
    </row>
    <row r="40" spans="3:10">
      <c r="C40" s="56"/>
      <c r="D40" s="60" t="s">
        <v>95</v>
      </c>
      <c r="E40" s="61" t="s">
        <v>33</v>
      </c>
      <c r="F40" s="62" t="s">
        <v>62</v>
      </c>
      <c r="G40" s="62" t="s">
        <v>63</v>
      </c>
      <c r="H40" t="s">
        <v>6</v>
      </c>
    </row>
    <row r="41" spans="3:10" ht="15.75">
      <c r="C41" s="56"/>
      <c r="D41" s="98">
        <v>4634000000</v>
      </c>
      <c r="E41" s="99" t="str">
        <f>+A27</f>
        <v>American Airlines Group</v>
      </c>
      <c r="F41" s="100">
        <v>7850000000</v>
      </c>
      <c r="G41" s="100">
        <f>(1507+6610)*1000000</f>
        <v>8117000000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A5FB-0560-42C6-B7B1-3CC88B30F7C3}">
  <sheetPr codeName="Sheet16">
    <pageSetUpPr fitToPage="1"/>
  </sheetPr>
  <dimension ref="A1:J17"/>
  <sheetViews>
    <sheetView zoomScaleNormal="100" workbookViewId="0">
      <selection activeCell="D13" sqref="A13:XFD13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66" t="s">
        <v>65</v>
      </c>
    </row>
    <row r="6" spans="1:10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6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</row>
    <row r="11" spans="1:10">
      <c r="A11" s="22" t="s">
        <v>107</v>
      </c>
      <c r="B11" s="3" t="s">
        <v>106</v>
      </c>
      <c r="C11" s="3" t="s">
        <v>76</v>
      </c>
      <c r="D11" s="68">
        <v>1.6</v>
      </c>
      <c r="E11" s="69">
        <v>0</v>
      </c>
      <c r="F11" s="70" t="s">
        <v>108</v>
      </c>
      <c r="G11" s="68" t="s">
        <v>109</v>
      </c>
      <c r="H11" s="71" t="s">
        <v>110</v>
      </c>
      <c r="I11" s="72">
        <v>8.3299999999999999E-2</v>
      </c>
    </row>
    <row r="12" spans="1:10" ht="15.75" thickBot="1">
      <c r="A12" s="73" t="s">
        <v>6</v>
      </c>
      <c r="B12" s="74" t="s">
        <v>6</v>
      </c>
      <c r="C12" s="74" t="s">
        <v>6</v>
      </c>
      <c r="D12" s="74" t="s">
        <v>6</v>
      </c>
      <c r="E12" s="75" t="s">
        <v>6</v>
      </c>
      <c r="F12" s="74" t="s">
        <v>6</v>
      </c>
      <c r="G12" s="74" t="s">
        <v>6</v>
      </c>
      <c r="H12" s="75" t="s">
        <v>6</v>
      </c>
      <c r="I12" s="76"/>
    </row>
    <row r="13" spans="1:10" ht="15.75" thickTop="1">
      <c r="C13" s="77"/>
      <c r="D13" s="77"/>
      <c r="E13" s="77"/>
      <c r="F13" s="70"/>
      <c r="G13" s="68"/>
      <c r="H13" s="3"/>
      <c r="I13" s="77"/>
    </row>
    <row r="14" spans="1:10">
      <c r="C14" s="77" t="s">
        <v>58</v>
      </c>
      <c r="D14" s="78">
        <f>MEDIAN(D11:D11)</f>
        <v>1.6</v>
      </c>
      <c r="E14" s="79">
        <f>MEDIAN(E11:E11)</f>
        <v>0</v>
      </c>
      <c r="F14" s="70" t="s">
        <v>80</v>
      </c>
      <c r="G14" s="68" t="s">
        <v>6</v>
      </c>
      <c r="H14" s="3" t="s">
        <v>81</v>
      </c>
      <c r="I14" s="79">
        <f>MEDIAN(I11:I11)</f>
        <v>8.3299999999999999E-2</v>
      </c>
    </row>
    <row r="15" spans="1:10">
      <c r="C15" s="77" t="s">
        <v>29</v>
      </c>
      <c r="D15" s="80">
        <f>AVERAGE(D11:D11)</f>
        <v>1.6</v>
      </c>
      <c r="E15" s="81">
        <f>AVERAGE(E11:E11)</f>
        <v>0</v>
      </c>
      <c r="I15" s="81">
        <f>AVERAGE(I11:I11)</f>
        <v>8.3299999999999999E-2</v>
      </c>
    </row>
    <row r="16" spans="1:10">
      <c r="J16" s="82"/>
    </row>
    <row r="17" spans="8:10" ht="21">
      <c r="H17" s="58" t="s">
        <v>82</v>
      </c>
      <c r="I17" s="83">
        <v>8.3299999999999999E-2</v>
      </c>
      <c r="J17" s="8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DDB0B-CA30-4D23-81FD-2309ADB5E7EC}">
  <sheetPr codeName="Sheet17">
    <pageSetUpPr fitToPage="1"/>
  </sheetPr>
  <dimension ref="A1:L32"/>
  <sheetViews>
    <sheetView topLeftCell="A6" zoomScaleNormal="100" workbookViewId="0">
      <selection activeCell="A18" sqref="A18:XFD18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66" t="s">
        <v>65</v>
      </c>
    </row>
    <row r="6" spans="1:12" ht="15.75">
      <c r="A6" s="66"/>
    </row>
    <row r="7" spans="1:12" ht="18.75">
      <c r="A7" s="66"/>
      <c r="D7" s="84" t="s">
        <v>83</v>
      </c>
    </row>
    <row r="8" spans="1:12" ht="18.75">
      <c r="A8" s="66"/>
      <c r="D8" s="84" t="s">
        <v>84</v>
      </c>
    </row>
    <row r="9" spans="1:12" ht="15.75">
      <c r="A9" s="66"/>
    </row>
    <row r="10" spans="1:12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12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12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12">
      <c r="A13" s="8" t="s">
        <v>6</v>
      </c>
      <c r="B13" s="8" t="s">
        <v>6</v>
      </c>
      <c r="C13" s="8" t="s">
        <v>40</v>
      </c>
      <c r="D13" s="8" t="s">
        <v>40</v>
      </c>
      <c r="E13" s="8" t="s">
        <v>6</v>
      </c>
      <c r="F13" s="8" t="s">
        <v>6</v>
      </c>
    </row>
    <row r="14" spans="1:12">
      <c r="A14" s="3"/>
      <c r="B14" s="3"/>
      <c r="C14" s="3"/>
      <c r="D14" s="3"/>
      <c r="E14" s="3"/>
      <c r="F14" s="3"/>
    </row>
    <row r="15" spans="1:12">
      <c r="K15" s="85"/>
      <c r="L15" s="85"/>
    </row>
    <row r="16" spans="1:12">
      <c r="A16" s="22" t="s">
        <v>107</v>
      </c>
      <c r="B16" s="3" t="s">
        <v>106</v>
      </c>
      <c r="C16" s="70">
        <v>17.96</v>
      </c>
      <c r="D16" s="68">
        <v>6.1</v>
      </c>
      <c r="E16" s="86">
        <f>C16/D16</f>
        <v>2.9442622950819675</v>
      </c>
      <c r="F16" s="72">
        <f>1/E16</f>
        <v>0.33964365256124718</v>
      </c>
      <c r="K16" s="85"/>
      <c r="L16" s="85"/>
    </row>
    <row r="17" spans="1:6" ht="15.75" thickBot="1">
      <c r="A17" s="73" t="s">
        <v>6</v>
      </c>
      <c r="B17" s="74" t="s">
        <v>6</v>
      </c>
      <c r="C17" s="87" t="s">
        <v>6</v>
      </c>
      <c r="D17" s="88" t="s">
        <v>6</v>
      </c>
      <c r="E17" s="89" t="s">
        <v>6</v>
      </c>
      <c r="F17" s="90" t="s">
        <v>6</v>
      </c>
    </row>
    <row r="18" spans="1:6" ht="15.75" thickTop="1">
      <c r="B18" s="3"/>
      <c r="C18" s="77"/>
      <c r="D18" s="77"/>
      <c r="E18" s="77"/>
      <c r="F18" s="77"/>
    </row>
    <row r="19" spans="1:6">
      <c r="B19" s="3" t="s">
        <v>58</v>
      </c>
      <c r="C19" s="86">
        <f>MEDIAN(C16:C16)</f>
        <v>17.96</v>
      </c>
      <c r="D19" s="86">
        <f>MEDIAN(D16:D16)</f>
        <v>6.1</v>
      </c>
      <c r="E19" s="86">
        <f>MEDIAN(E16:E16)</f>
        <v>2.9442622950819675</v>
      </c>
      <c r="F19" s="91">
        <f>MEDIAN(F16:F16)</f>
        <v>0.33964365256124718</v>
      </c>
    </row>
    <row r="20" spans="1:6">
      <c r="B20" s="3" t="s">
        <v>29</v>
      </c>
      <c r="C20" s="86">
        <f>AVERAGE(C16:C16)</f>
        <v>17.96</v>
      </c>
      <c r="D20" s="86">
        <f>AVERAGE(D16:D16)</f>
        <v>6.1</v>
      </c>
      <c r="E20" s="86">
        <f>AVERAGE(E16:E16)</f>
        <v>2.9442622950819675</v>
      </c>
      <c r="F20" s="91">
        <f>AVERAGE(F16:F16)</f>
        <v>0.33964365256124718</v>
      </c>
    </row>
    <row r="21" spans="1:6">
      <c r="B21" s="3"/>
      <c r="C21" s="86"/>
      <c r="D21" s="86"/>
      <c r="E21" s="86"/>
      <c r="F21" s="81"/>
    </row>
    <row r="22" spans="1:6" ht="21">
      <c r="B22" s="3"/>
      <c r="C22" s="86"/>
      <c r="D22" s="86"/>
      <c r="E22" s="92" t="s">
        <v>20</v>
      </c>
      <c r="F22" s="83">
        <v>0.33960000000000001</v>
      </c>
    </row>
    <row r="23" spans="1:6">
      <c r="B23" s="3"/>
      <c r="C23" s="93"/>
      <c r="D23" s="93"/>
      <c r="E23" s="93"/>
      <c r="F23" s="94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EB9D-79C4-4DD1-8E7E-32E9A16EFDAE}">
  <sheetPr codeName="Sheet18">
    <pageSetUpPr fitToPage="1"/>
  </sheetPr>
  <dimension ref="A1:G24"/>
  <sheetViews>
    <sheetView topLeftCell="A7" zoomScaleNormal="100" workbookViewId="0">
      <selection activeCell="L12" sqref="L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111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9">
        <f>'[1]S&amp;D_AC P Southwest'!I33</f>
        <v>0.65</v>
      </c>
      <c r="C18" s="10">
        <f>'[1]CF Multiples_AC P Southwest'!F22</f>
        <v>0.1401</v>
      </c>
      <c r="D18" s="2" t="s">
        <v>6</v>
      </c>
      <c r="E18" s="10">
        <f>+C18</f>
        <v>0.1401</v>
      </c>
      <c r="F18" s="11">
        <f>+E18*B18</f>
        <v>9.1065000000000007E-2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9">
        <f>'[1]S&amp;D_AC P Southwest'!J33</f>
        <v>0.35</v>
      </c>
      <c r="C20" s="9">
        <f>'[1]Debt_AC P Southwest'!I17</f>
        <v>3.3500000000000002E-2</v>
      </c>
      <c r="D20" s="16">
        <v>0.26</v>
      </c>
      <c r="E20" s="10">
        <f>+C20*(1-D20)</f>
        <v>2.479E-2</v>
      </c>
      <c r="F20" s="11">
        <f>+B20*E20</f>
        <v>8.6764999999999984E-3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9.9741500000000011E-2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9.9699999999999997E-2</v>
      </c>
    </row>
  </sheetData>
  <pageMargins left="0.25" right="0.25" top="0.75" bottom="0.75" header="0.3" footer="0.3"/>
  <pageSetup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B174-7692-4886-95CD-7C3E16DC31EF}">
  <sheetPr codeName="Sheet19">
    <pageSetUpPr fitToPage="1"/>
  </sheetPr>
  <dimension ref="A1:M41"/>
  <sheetViews>
    <sheetView topLeftCell="A7" zoomScale="70" zoomScaleNormal="70" zoomScalePageLayoutView="70" workbookViewId="0">
      <selection activeCell="E25" sqref="E25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22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34"/>
      <c r="C11" s="34"/>
      <c r="F11" s="34"/>
      <c r="G11" s="34"/>
      <c r="H11" s="35" t="s">
        <v>23</v>
      </c>
      <c r="I11" s="35" t="s">
        <v>6</v>
      </c>
      <c r="J11" s="28"/>
    </row>
    <row r="12" spans="1:12" ht="15.75">
      <c r="A12" s="36"/>
      <c r="B12" s="36"/>
      <c r="C12" s="36"/>
      <c r="D12" s="376" t="s">
        <v>24</v>
      </c>
      <c r="E12" s="377"/>
      <c r="F12" s="37" t="s">
        <v>24</v>
      </c>
      <c r="G12" s="36"/>
      <c r="H12" s="36" t="s">
        <v>25</v>
      </c>
      <c r="I12" s="35" t="s">
        <v>23</v>
      </c>
      <c r="J12" s="35" t="s">
        <v>23</v>
      </c>
    </row>
    <row r="13" spans="1:12" ht="15.75">
      <c r="A13" s="36" t="s">
        <v>6</v>
      </c>
      <c r="B13" s="36" t="s">
        <v>26</v>
      </c>
      <c r="C13" s="36" t="s">
        <v>27</v>
      </c>
      <c r="D13" s="376" t="s">
        <v>28</v>
      </c>
      <c r="E13" s="377"/>
      <c r="F13" s="37" t="s">
        <v>29</v>
      </c>
      <c r="G13" s="35" t="s">
        <v>23</v>
      </c>
      <c r="H13" s="36" t="s">
        <v>30</v>
      </c>
      <c r="I13" s="38" t="s">
        <v>31</v>
      </c>
      <c r="J13" s="38" t="s">
        <v>32</v>
      </c>
    </row>
    <row r="14" spans="1:12" ht="16.5" thickBot="1">
      <c r="A14" s="39" t="s">
        <v>33</v>
      </c>
      <c r="B14" s="39" t="s">
        <v>34</v>
      </c>
      <c r="C14" s="39" t="s">
        <v>35</v>
      </c>
      <c r="D14" s="39" t="s">
        <v>36</v>
      </c>
      <c r="E14" s="39" t="s">
        <v>37</v>
      </c>
      <c r="F14" s="39" t="s">
        <v>28</v>
      </c>
      <c r="G14" s="39" t="s">
        <v>28</v>
      </c>
      <c r="H14" s="40" t="s">
        <v>92</v>
      </c>
      <c r="I14" s="39" t="s">
        <v>39</v>
      </c>
      <c r="J14" s="39" t="s">
        <v>39</v>
      </c>
    </row>
    <row r="15" spans="1:12" ht="15.75">
      <c r="A15" s="41" t="s">
        <v>40</v>
      </c>
      <c r="B15" s="41" t="s">
        <v>40</v>
      </c>
      <c r="C15" s="41" t="s">
        <v>40</v>
      </c>
      <c r="D15" s="41" t="s">
        <v>41</v>
      </c>
      <c r="E15" s="41" t="s">
        <v>41</v>
      </c>
      <c r="F15" s="41" t="s">
        <v>41</v>
      </c>
      <c r="G15" s="41" t="s">
        <v>41</v>
      </c>
      <c r="H15" s="41" t="s">
        <v>42</v>
      </c>
      <c r="I15" s="41" t="s">
        <v>42</v>
      </c>
      <c r="J15" s="41" t="s">
        <v>42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3" ht="15.75">
      <c r="A17" s="22" t="s">
        <v>112</v>
      </c>
      <c r="B17" s="3" t="s">
        <v>113</v>
      </c>
      <c r="C17" s="2" t="s">
        <v>76</v>
      </c>
      <c r="D17" s="13">
        <v>43.16</v>
      </c>
      <c r="E17" s="13">
        <v>42.61</v>
      </c>
      <c r="F17" s="43">
        <f t="shared" ref="F17" si="0">AVERAGE(D17,E17)</f>
        <v>42.884999999999998</v>
      </c>
      <c r="G17" s="43">
        <v>42.84</v>
      </c>
      <c r="H17" s="45">
        <f>888111634-295991525</f>
        <v>592120109</v>
      </c>
      <c r="I17" s="45">
        <v>0</v>
      </c>
      <c r="J17" s="45">
        <f>10274000000+453000000</f>
        <v>10727000000</v>
      </c>
      <c r="M17" t="s">
        <v>6</v>
      </c>
    </row>
    <row r="18" spans="1:13" ht="16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3" ht="15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3" ht="15.7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3" ht="15.75">
      <c r="A21" s="47"/>
      <c r="B21" s="47"/>
      <c r="C21" s="47"/>
      <c r="D21" s="47"/>
      <c r="E21" s="35" t="s">
        <v>6</v>
      </c>
      <c r="F21" s="47"/>
      <c r="G21" s="47"/>
      <c r="H21" s="47"/>
      <c r="I21" s="47"/>
      <c r="J21" s="47"/>
      <c r="K21" s="47"/>
      <c r="L21" s="47"/>
    </row>
    <row r="22" spans="1:13" ht="15.75">
      <c r="A22" s="36"/>
      <c r="B22" s="36"/>
      <c r="C22" s="36"/>
      <c r="D22" s="35" t="s">
        <v>23</v>
      </c>
      <c r="E22" s="35" t="s">
        <v>23</v>
      </c>
      <c r="F22" s="35" t="s">
        <v>23</v>
      </c>
      <c r="G22" s="35" t="s">
        <v>23</v>
      </c>
      <c r="H22" s="35" t="s">
        <v>23</v>
      </c>
      <c r="I22" s="35" t="s">
        <v>23</v>
      </c>
      <c r="J22" s="35" t="s">
        <v>23</v>
      </c>
    </row>
    <row r="23" spans="1:13" ht="15.75">
      <c r="A23" s="36" t="s">
        <v>6</v>
      </c>
      <c r="B23" s="36" t="s">
        <v>26</v>
      </c>
      <c r="C23" s="36" t="s">
        <v>27</v>
      </c>
      <c r="D23" s="36" t="s">
        <v>25</v>
      </c>
      <c r="E23" s="38" t="s">
        <v>31</v>
      </c>
      <c r="F23" s="36" t="s">
        <v>46</v>
      </c>
      <c r="G23" s="38" t="s">
        <v>47</v>
      </c>
      <c r="H23" s="38" t="s">
        <v>48</v>
      </c>
      <c r="I23" s="38" t="s">
        <v>49</v>
      </c>
      <c r="J23" s="38" t="s">
        <v>50</v>
      </c>
    </row>
    <row r="24" spans="1:13" ht="16.5" thickBot="1">
      <c r="A24" s="39" t="s">
        <v>33</v>
      </c>
      <c r="B24" s="39" t="s">
        <v>34</v>
      </c>
      <c r="C24" s="39" t="s">
        <v>35</v>
      </c>
      <c r="D24" s="39" t="s">
        <v>51</v>
      </c>
      <c r="E24" s="39" t="s">
        <v>51</v>
      </c>
      <c r="F24" s="39" t="s">
        <v>51</v>
      </c>
      <c r="G24" s="39" t="s">
        <v>51</v>
      </c>
      <c r="H24" s="39" t="s">
        <v>52</v>
      </c>
      <c r="I24" s="39" t="s">
        <v>6</v>
      </c>
      <c r="J24" s="39" t="s">
        <v>6</v>
      </c>
    </row>
    <row r="25" spans="1:13" ht="15.75">
      <c r="A25" s="41" t="s">
        <v>40</v>
      </c>
      <c r="B25" s="41" t="s">
        <v>40</v>
      </c>
      <c r="C25" s="41" t="s">
        <v>40</v>
      </c>
      <c r="D25" s="41" t="s">
        <v>53</v>
      </c>
      <c r="E25" s="41" t="s">
        <v>42</v>
      </c>
      <c r="F25" s="41" t="s">
        <v>53</v>
      </c>
      <c r="G25" s="41" t="s">
        <v>42</v>
      </c>
      <c r="H25" s="41" t="s">
        <v>53</v>
      </c>
      <c r="I25" s="41" t="s">
        <v>53</v>
      </c>
      <c r="J25" s="41" t="s">
        <v>53</v>
      </c>
    </row>
    <row r="26" spans="1:13" ht="15.75">
      <c r="A26" s="36"/>
      <c r="B26" s="36"/>
      <c r="C26" s="36"/>
      <c r="D26" s="47"/>
      <c r="E26" s="47"/>
      <c r="G26" s="42"/>
      <c r="H26" s="42"/>
      <c r="I26" s="42"/>
      <c r="J26" s="42"/>
    </row>
    <row r="27" spans="1:13" ht="15.75">
      <c r="A27" s="22" t="str">
        <f>+A17</f>
        <v xml:space="preserve">Southwest Airlines </v>
      </c>
      <c r="B27" s="3" t="str">
        <f>+B17</f>
        <v>LUV</v>
      </c>
      <c r="C27" s="2" t="str">
        <f>+C17</f>
        <v>AirTrans</v>
      </c>
      <c r="D27" s="95">
        <f>+G17*(H17)</f>
        <v>25366425469.560001</v>
      </c>
      <c r="E27" s="96">
        <f>(1/1)*I17</f>
        <v>0</v>
      </c>
      <c r="F27" s="97">
        <f>G41</f>
        <v>1554000000</v>
      </c>
      <c r="G27" s="45">
        <f>((305+73+1311+2802+1724+314+321+2294+140+499+958+548+507)/(300+71+1250+1842+1550+300+300+2000+116+500+976+566+526))*J17</f>
        <v>12288597844.032244</v>
      </c>
      <c r="H27" s="45">
        <f t="shared" ref="H27" si="1">+D27+E27+F27+G27</f>
        <v>39209023313.592247</v>
      </c>
      <c r="I27" s="11">
        <f t="shared" ref="I27" si="2">+D27/H27</f>
        <v>0.64695377047982849</v>
      </c>
      <c r="J27" s="11">
        <f t="shared" ref="J27" si="3">(+F27+G27)/H27</f>
        <v>0.35304622952017151</v>
      </c>
    </row>
    <row r="28" spans="1:13">
      <c r="G28" s="3" t="s">
        <v>6</v>
      </c>
    </row>
    <row r="29" spans="1:13" ht="15.75">
      <c r="H29" s="54"/>
      <c r="I29" s="54"/>
      <c r="J29" s="54"/>
    </row>
    <row r="30" spans="1:13" ht="15.75">
      <c r="A30" s="22" t="s">
        <v>57</v>
      </c>
      <c r="H30" s="54" t="s">
        <v>58</v>
      </c>
      <c r="I30" s="11">
        <f>MEDIAN(I27:I27)</f>
        <v>0.64695377047982849</v>
      </c>
      <c r="J30" s="11">
        <f>MEDIAN(J27:J27)</f>
        <v>0.35304622952017151</v>
      </c>
    </row>
    <row r="31" spans="1:13" ht="15.75">
      <c r="A31" s="22" t="s">
        <v>59</v>
      </c>
      <c r="F31" s="55" t="s">
        <v>6</v>
      </c>
      <c r="G31" t="s">
        <v>6</v>
      </c>
      <c r="H31" s="54" t="s">
        <v>29</v>
      </c>
      <c r="I31" s="15">
        <f>AVERAGE(I27:I27)</f>
        <v>0.64695377047982849</v>
      </c>
      <c r="J31" s="15">
        <f>AVERAGE(J27:J27)</f>
        <v>0.35304622952017151</v>
      </c>
    </row>
    <row r="32" spans="1:13" ht="15.75">
      <c r="A32" s="22" t="s">
        <v>60</v>
      </c>
      <c r="C32" s="56"/>
      <c r="D32" s="57"/>
      <c r="H32" s="24"/>
      <c r="I32" s="24"/>
      <c r="J32" s="24"/>
    </row>
    <row r="33" spans="3:10" ht="21">
      <c r="F33" s="55" t="s">
        <v>6</v>
      </c>
      <c r="H33" s="58" t="s">
        <v>20</v>
      </c>
      <c r="I33" s="59">
        <v>0.65</v>
      </c>
      <c r="J33" s="59">
        <v>0.35</v>
      </c>
    </row>
    <row r="34" spans="3:10">
      <c r="C34" s="56"/>
    </row>
    <row r="35" spans="3:10" ht="15.75">
      <c r="C35" s="56" t="s">
        <v>6</v>
      </c>
      <c r="H35" t="s">
        <v>6</v>
      </c>
      <c r="I35" s="24"/>
      <c r="J35" s="24"/>
    </row>
    <row r="36" spans="3:10">
      <c r="C36" s="56"/>
    </row>
    <row r="37" spans="3:10">
      <c r="C37" s="56"/>
    </row>
    <row r="38" spans="3:10">
      <c r="C38" s="56" t="s">
        <v>6</v>
      </c>
      <c r="H38" t="s">
        <v>6</v>
      </c>
    </row>
    <row r="39" spans="3:10">
      <c r="C39" s="56"/>
    </row>
    <row r="40" spans="3:10">
      <c r="C40" s="56"/>
      <c r="D40" s="60" t="s">
        <v>95</v>
      </c>
      <c r="E40" s="61" t="s">
        <v>33</v>
      </c>
      <c r="F40" s="62" t="s">
        <v>62</v>
      </c>
      <c r="G40" s="62" t="s">
        <v>63</v>
      </c>
      <c r="H40" t="s">
        <v>6</v>
      </c>
    </row>
    <row r="41" spans="3:10" ht="15.75">
      <c r="D41" s="63">
        <v>935000000</v>
      </c>
      <c r="E41" s="64" t="str">
        <f>+A27</f>
        <v xml:space="preserve">Southwest Airlines </v>
      </c>
      <c r="F41" s="65">
        <v>1590000000</v>
      </c>
      <c r="G41" s="65">
        <f>(239+1315)*1000000</f>
        <v>1554000000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68AD-8A2F-4D20-ADF4-3473B488125B}">
  <sheetPr codeName="Sheet2">
    <pageSetUpPr fitToPage="1"/>
  </sheetPr>
  <dimension ref="A1:G24"/>
  <sheetViews>
    <sheetView topLeftCell="A7" zoomScaleNormal="100" workbookViewId="0"/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4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9">
        <f>'[1]S&amp;D_AC P United'!I32</f>
        <v>0.26</v>
      </c>
      <c r="C18" s="10">
        <f>'[1]CF Multiples_AC P United'!F22</f>
        <v>0.31859999999999999</v>
      </c>
      <c r="D18" s="2" t="s">
        <v>6</v>
      </c>
      <c r="E18" s="10">
        <f>+C18</f>
        <v>0.31859999999999999</v>
      </c>
      <c r="F18" s="11">
        <f>+E18*B18</f>
        <v>8.2836000000000007E-2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9">
        <f>'[1]S&amp;D_AC P United'!J32</f>
        <v>0.74</v>
      </c>
      <c r="C20" s="9">
        <f>'[1]Debt_AC P United'!I17</f>
        <v>6.83E-2</v>
      </c>
      <c r="D20" s="16">
        <v>0.26</v>
      </c>
      <c r="E20" s="10">
        <f>+C20*(1-D20)</f>
        <v>5.0541999999999997E-2</v>
      </c>
      <c r="F20" s="11">
        <f>+B20*E20</f>
        <v>3.7401079999999996E-2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0.12023708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0.1202</v>
      </c>
    </row>
  </sheetData>
  <pageMargins left="0.25" right="0.25" top="0.75" bottom="0.75" header="0.3" footer="0.3"/>
  <pageSetup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B75E2-CC23-4FA3-ADCE-FB1D7EDEC3FB}">
  <sheetPr codeName="Sheet20">
    <pageSetUpPr fitToPage="1"/>
  </sheetPr>
  <dimension ref="A1:J17"/>
  <sheetViews>
    <sheetView zoomScaleNormal="100" workbookViewId="0">
      <selection activeCell="A13" sqref="A13:XFD13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66" t="s">
        <v>65</v>
      </c>
    </row>
    <row r="6" spans="1:10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6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</row>
    <row r="11" spans="1:10">
      <c r="A11" s="22" t="s">
        <v>112</v>
      </c>
      <c r="B11" s="3" t="s">
        <v>113</v>
      </c>
      <c r="C11" s="3" t="s">
        <v>76</v>
      </c>
      <c r="D11" s="68">
        <v>1.05</v>
      </c>
      <c r="E11" s="69">
        <v>0</v>
      </c>
      <c r="F11" s="70" t="s">
        <v>78</v>
      </c>
      <c r="G11" s="68"/>
      <c r="H11" s="68" t="s">
        <v>114</v>
      </c>
      <c r="I11" s="72">
        <v>3.3500000000000002E-2</v>
      </c>
    </row>
    <row r="12" spans="1:10" ht="15.75" thickBot="1">
      <c r="A12" s="73" t="s">
        <v>6</v>
      </c>
      <c r="B12" s="74" t="s">
        <v>6</v>
      </c>
      <c r="C12" s="74" t="s">
        <v>6</v>
      </c>
      <c r="D12" s="74" t="s">
        <v>6</v>
      </c>
      <c r="E12" s="75" t="s">
        <v>6</v>
      </c>
      <c r="F12" s="74" t="s">
        <v>6</v>
      </c>
      <c r="G12" s="74" t="s">
        <v>6</v>
      </c>
      <c r="H12" s="75" t="s">
        <v>6</v>
      </c>
      <c r="I12" s="76"/>
    </row>
    <row r="13" spans="1:10" ht="15.75" thickTop="1">
      <c r="C13" s="77"/>
      <c r="D13" s="77"/>
      <c r="E13" s="77"/>
      <c r="F13" s="70"/>
      <c r="G13" s="68"/>
      <c r="H13" s="3"/>
      <c r="I13" s="77"/>
    </row>
    <row r="14" spans="1:10">
      <c r="C14" s="77" t="s">
        <v>58</v>
      </c>
      <c r="D14" s="78">
        <f>MEDIAN(D11:D11)</f>
        <v>1.05</v>
      </c>
      <c r="E14" s="79">
        <f>MEDIAN(E11:E11)</f>
        <v>0</v>
      </c>
      <c r="F14" s="70" t="s">
        <v>80</v>
      </c>
      <c r="G14" s="68" t="s">
        <v>6</v>
      </c>
      <c r="H14" s="3" t="s">
        <v>81</v>
      </c>
      <c r="I14" s="109">
        <f>MEDIAN(I11:I11)</f>
        <v>3.3500000000000002E-2</v>
      </c>
    </row>
    <row r="15" spans="1:10">
      <c r="C15" s="77" t="s">
        <v>29</v>
      </c>
      <c r="D15" s="80">
        <f>AVERAGE(D11:D11)</f>
        <v>1.05</v>
      </c>
      <c r="E15" s="81">
        <f>AVERAGE(E11:E11)</f>
        <v>0</v>
      </c>
      <c r="I15" s="12">
        <f>AVERAGE(I11:I11)</f>
        <v>3.3500000000000002E-2</v>
      </c>
    </row>
    <row r="16" spans="1:10">
      <c r="J16" s="82"/>
    </row>
    <row r="17" spans="8:10" ht="21">
      <c r="H17" s="58" t="s">
        <v>82</v>
      </c>
      <c r="I17" s="105">
        <v>3.3500000000000002E-2</v>
      </c>
      <c r="J17" s="8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E31C-7B18-48F6-A6A4-1794C09CEBC6}">
  <sheetPr codeName="Sheet21">
    <pageSetUpPr fitToPage="1"/>
  </sheetPr>
  <dimension ref="A1:L32"/>
  <sheetViews>
    <sheetView zoomScale="90" zoomScaleNormal="90" workbookViewId="0">
      <selection activeCell="A18" sqref="A18:XFD18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66" t="s">
        <v>65</v>
      </c>
    </row>
    <row r="6" spans="1:12" ht="15.75">
      <c r="A6" s="66"/>
    </row>
    <row r="7" spans="1:12" ht="18.75">
      <c r="A7" s="66"/>
      <c r="D7" s="84" t="s">
        <v>83</v>
      </c>
    </row>
    <row r="8" spans="1:12" ht="18.75">
      <c r="A8" s="66"/>
      <c r="D8" s="84" t="s">
        <v>84</v>
      </c>
    </row>
    <row r="9" spans="1:12" ht="15.75">
      <c r="A9" s="66"/>
    </row>
    <row r="10" spans="1:12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12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12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12">
      <c r="A13" s="8" t="s">
        <v>6</v>
      </c>
      <c r="B13" s="8" t="s">
        <v>6</v>
      </c>
      <c r="C13" s="8" t="s">
        <v>40</v>
      </c>
      <c r="D13" s="8" t="s">
        <v>40</v>
      </c>
      <c r="E13" s="8" t="s">
        <v>6</v>
      </c>
      <c r="F13" s="8" t="s">
        <v>6</v>
      </c>
    </row>
    <row r="14" spans="1:12">
      <c r="A14" s="3"/>
      <c r="B14" s="3"/>
      <c r="C14" s="3"/>
      <c r="D14" s="3"/>
      <c r="E14" s="3"/>
      <c r="F14" s="3"/>
    </row>
    <row r="15" spans="1:12">
      <c r="K15" s="85"/>
      <c r="L15" s="85"/>
    </row>
    <row r="16" spans="1:12">
      <c r="A16" s="22" t="s">
        <v>112</v>
      </c>
      <c r="B16" s="3" t="s">
        <v>113</v>
      </c>
      <c r="C16" s="68">
        <v>42.84</v>
      </c>
      <c r="D16" s="68">
        <v>6</v>
      </c>
      <c r="E16" s="86">
        <f t="shared" ref="E16" si="0">C16/D16</f>
        <v>7.1400000000000006</v>
      </c>
      <c r="F16" s="72">
        <f t="shared" ref="F16" si="1">1/E16</f>
        <v>0.14005602240896359</v>
      </c>
      <c r="K16" s="85"/>
      <c r="L16" s="85"/>
    </row>
    <row r="17" spans="1:6" ht="15.75" thickBot="1">
      <c r="A17" s="73" t="s">
        <v>6</v>
      </c>
      <c r="B17" s="74" t="s">
        <v>6</v>
      </c>
      <c r="C17" s="87" t="s">
        <v>6</v>
      </c>
      <c r="D17" s="88" t="s">
        <v>6</v>
      </c>
      <c r="E17" s="89" t="s">
        <v>6</v>
      </c>
      <c r="F17" s="375" t="s">
        <v>6</v>
      </c>
    </row>
    <row r="18" spans="1:6" ht="15.75" thickTop="1">
      <c r="B18" s="3"/>
      <c r="C18" s="77"/>
      <c r="D18" s="77"/>
      <c r="E18" s="77"/>
      <c r="F18" s="77"/>
    </row>
    <row r="19" spans="1:6">
      <c r="B19" s="3" t="s">
        <v>58</v>
      </c>
      <c r="C19" s="86">
        <f>MEDIAN(C16:C16)</f>
        <v>42.84</v>
      </c>
      <c r="D19" s="86">
        <f>MEDIAN(D16:D16)</f>
        <v>6</v>
      </c>
      <c r="E19" s="86">
        <f>MEDIAN(E16:E16)</f>
        <v>7.1400000000000006</v>
      </c>
      <c r="F19" s="72">
        <f>MEDIAN(F16:F16)</f>
        <v>0.14005602240896359</v>
      </c>
    </row>
    <row r="20" spans="1:6">
      <c r="B20" s="3" t="s">
        <v>29</v>
      </c>
      <c r="C20" s="86">
        <f>AVERAGE(C16:C16)</f>
        <v>42.84</v>
      </c>
      <c r="D20" s="86">
        <f>AVERAGE(D16:D16)</f>
        <v>6</v>
      </c>
      <c r="E20" s="86">
        <f>AVERAGE(E16:E16)</f>
        <v>7.1400000000000006</v>
      </c>
      <c r="F20" s="72">
        <f>AVERAGE(F16:F16)</f>
        <v>0.14005602240896359</v>
      </c>
    </row>
    <row r="21" spans="1:6">
      <c r="B21" s="3"/>
      <c r="C21" s="86"/>
      <c r="D21" s="86"/>
      <c r="E21" s="86"/>
      <c r="F21" s="12"/>
    </row>
    <row r="22" spans="1:6" ht="21">
      <c r="B22" s="3"/>
      <c r="C22" s="86"/>
      <c r="D22" s="86"/>
      <c r="E22" s="92" t="s">
        <v>20</v>
      </c>
      <c r="F22" s="105">
        <v>0.1401</v>
      </c>
    </row>
    <row r="23" spans="1:6">
      <c r="B23" s="3"/>
      <c r="C23" s="93"/>
      <c r="D23" s="93"/>
      <c r="E23" s="93"/>
      <c r="F23" s="94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7E9F-7B7A-4CA9-9ADD-896691C6E70D}">
  <sheetPr codeName="Sheet23">
    <pageSetUpPr fitToPage="1"/>
  </sheetPr>
  <dimension ref="A1:G24"/>
  <sheetViews>
    <sheetView topLeftCell="A6" zoomScaleNormal="100" workbookViewId="0">
      <selection activeCell="L12" sqref="L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115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9">
        <f>+'[2]S&amp;D'!I49</f>
        <v>0.41</v>
      </c>
      <c r="C18" s="10">
        <f>+'[2]CF Multiples'!F30</f>
        <v>0.27389999999999998</v>
      </c>
      <c r="D18" s="2" t="s">
        <v>6</v>
      </c>
      <c r="E18" s="10">
        <f>+C18</f>
        <v>0.27389999999999998</v>
      </c>
      <c r="F18" s="11">
        <f>+E18*B18</f>
        <v>0.11229899999999998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9">
        <f>+'[2]S&amp;D'!J49</f>
        <v>0.59</v>
      </c>
      <c r="C20" s="9">
        <f>+[2]Debt!I25</f>
        <v>6.83E-2</v>
      </c>
      <c r="D20" s="16">
        <v>0.26</v>
      </c>
      <c r="E20" s="10">
        <f>+C20*(1-D20)</f>
        <v>5.0541999999999997E-2</v>
      </c>
      <c r="F20" s="11">
        <f>+B20*E20</f>
        <v>2.9819779999999997E-2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0.14211877999999997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0.1421</v>
      </c>
    </row>
  </sheetData>
  <pageMargins left="0.25" right="0.25" top="0.75" bottom="0.75" header="0.3" footer="0.3"/>
  <pageSetup scale="8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1E19-403E-4FC3-BB00-A46765816F2F}">
  <sheetPr codeName="Sheet24">
    <pageSetUpPr fitToPage="1"/>
  </sheetPr>
  <dimension ref="A1:N65"/>
  <sheetViews>
    <sheetView topLeftCell="A32" zoomScale="80" zoomScaleNormal="80" zoomScalePageLayoutView="70" workbookViewId="0">
      <pane xSplit="1" topLeftCell="B1" activePane="topRight" state="frozen"/>
      <selection activeCell="L12" sqref="L12"/>
      <selection pane="topRight" activeCell="L12" sqref="L12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2.7109375" customWidth="1"/>
    <col min="5" max="5" width="28.140625" customWidth="1"/>
    <col min="6" max="6" width="25.140625" customWidth="1"/>
    <col min="7" max="7" width="26.42578125" customWidth="1"/>
    <col min="8" max="8" width="27.710937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22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34"/>
      <c r="C11" s="34"/>
      <c r="F11" s="34"/>
      <c r="G11" s="34"/>
      <c r="H11" s="35" t="s">
        <v>23</v>
      </c>
      <c r="I11" s="35" t="s">
        <v>6</v>
      </c>
      <c r="J11" s="28"/>
    </row>
    <row r="12" spans="1:12" ht="15.75">
      <c r="A12" s="36"/>
      <c r="B12" s="36"/>
      <c r="C12" s="36"/>
      <c r="D12" s="376" t="s">
        <v>24</v>
      </c>
      <c r="E12" s="377"/>
      <c r="F12" s="37" t="s">
        <v>24</v>
      </c>
      <c r="G12" s="36"/>
      <c r="H12" s="36" t="s">
        <v>25</v>
      </c>
      <c r="I12" s="35" t="s">
        <v>23</v>
      </c>
      <c r="J12" s="35" t="s">
        <v>23</v>
      </c>
    </row>
    <row r="13" spans="1:12" ht="15.75">
      <c r="A13" s="36" t="s">
        <v>6</v>
      </c>
      <c r="B13" s="36" t="s">
        <v>26</v>
      </c>
      <c r="C13" s="36" t="s">
        <v>27</v>
      </c>
      <c r="D13" s="376" t="s">
        <v>28</v>
      </c>
      <c r="E13" s="377"/>
      <c r="F13" s="37" t="s">
        <v>29</v>
      </c>
      <c r="G13" s="35" t="s">
        <v>23</v>
      </c>
      <c r="H13" s="36" t="s">
        <v>30</v>
      </c>
      <c r="I13" s="38" t="s">
        <v>31</v>
      </c>
      <c r="J13" s="38" t="s">
        <v>32</v>
      </c>
    </row>
    <row r="14" spans="1:12" ht="16.5" thickBot="1">
      <c r="A14" s="39" t="s">
        <v>33</v>
      </c>
      <c r="B14" s="39" t="s">
        <v>34</v>
      </c>
      <c r="C14" s="39" t="s">
        <v>35</v>
      </c>
      <c r="D14" s="39" t="s">
        <v>36</v>
      </c>
      <c r="E14" s="39" t="s">
        <v>37</v>
      </c>
      <c r="F14" s="39" t="s">
        <v>28</v>
      </c>
      <c r="G14" s="39" t="s">
        <v>28</v>
      </c>
      <c r="H14" s="40" t="s">
        <v>38</v>
      </c>
      <c r="I14" s="39" t="s">
        <v>39</v>
      </c>
      <c r="J14" s="39" t="s">
        <v>39</v>
      </c>
    </row>
    <row r="15" spans="1:12" ht="15.75">
      <c r="A15" s="41" t="s">
        <v>40</v>
      </c>
      <c r="B15" s="41" t="s">
        <v>40</v>
      </c>
      <c r="C15" s="41" t="s">
        <v>40</v>
      </c>
      <c r="D15" s="41" t="s">
        <v>41</v>
      </c>
      <c r="E15" s="41" t="s">
        <v>41</v>
      </c>
      <c r="F15" s="41" t="s">
        <v>41</v>
      </c>
      <c r="G15" s="41" t="s">
        <v>40</v>
      </c>
      <c r="H15" s="41" t="s">
        <v>42</v>
      </c>
      <c r="I15" s="41" t="s">
        <v>42</v>
      </c>
      <c r="J15" s="41" t="s">
        <v>42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4" ht="15.75">
      <c r="A17" s="22" t="s">
        <v>116</v>
      </c>
      <c r="B17" s="3" t="s">
        <v>117</v>
      </c>
      <c r="C17" s="2" t="s">
        <v>76</v>
      </c>
      <c r="D17" s="13">
        <v>52.44</v>
      </c>
      <c r="E17" s="13">
        <v>51.62</v>
      </c>
      <c r="F17" s="43">
        <f t="shared" ref="F17:F25" si="0">AVERAGE(D17,E17)</f>
        <v>52.03</v>
      </c>
      <c r="G17" s="43">
        <v>52.1</v>
      </c>
      <c r="H17" s="45">
        <f>125905864-9346944</f>
        <v>116558920</v>
      </c>
      <c r="I17" s="45">
        <v>0</v>
      </c>
      <c r="J17" s="45">
        <f>2173000000+366000000</f>
        <v>2539000000</v>
      </c>
      <c r="M17" t="s">
        <v>6</v>
      </c>
    </row>
    <row r="18" spans="1:14" ht="15.75">
      <c r="A18" s="22" t="s">
        <v>118</v>
      </c>
      <c r="B18" s="3" t="s">
        <v>119</v>
      </c>
      <c r="C18" s="2" t="s">
        <v>76</v>
      </c>
      <c r="D18" s="13">
        <v>190.39</v>
      </c>
      <c r="E18" s="13">
        <v>186.51</v>
      </c>
      <c r="F18" s="43">
        <f t="shared" si="0"/>
        <v>188.45</v>
      </c>
      <c r="G18" s="43">
        <v>187.04</v>
      </c>
      <c r="H18" s="44">
        <f>18111381-6652412</f>
        <v>11458969</v>
      </c>
      <c r="I18" s="45">
        <v>0</v>
      </c>
      <c r="J18" s="106">
        <f>1612486000+130053000</f>
        <v>1742539000</v>
      </c>
      <c r="M18" s="107"/>
      <c r="N18" s="108"/>
    </row>
    <row r="19" spans="1:14" ht="15.75">
      <c r="A19" s="22" t="s">
        <v>105</v>
      </c>
      <c r="B19" s="3" t="s">
        <v>106</v>
      </c>
      <c r="C19" s="2" t="s">
        <v>45</v>
      </c>
      <c r="D19" s="13">
        <v>18.36</v>
      </c>
      <c r="E19" s="13">
        <v>17.93</v>
      </c>
      <c r="F19" s="43">
        <f t="shared" si="0"/>
        <v>18.145</v>
      </c>
      <c r="G19" s="13">
        <v>17.96</v>
      </c>
      <c r="H19" s="45">
        <v>647727595</v>
      </c>
      <c r="I19" s="45">
        <v>0</v>
      </c>
      <c r="J19" s="106">
        <f>35571000000+2489000000</f>
        <v>38060000000</v>
      </c>
      <c r="M19" s="107"/>
      <c r="N19" s="108"/>
    </row>
    <row r="20" spans="1:14" ht="15.75">
      <c r="A20" s="22" t="s">
        <v>93</v>
      </c>
      <c r="B20" s="3" t="s">
        <v>94</v>
      </c>
      <c r="C20" s="2" t="s">
        <v>45</v>
      </c>
      <c r="D20" s="13">
        <v>39.46</v>
      </c>
      <c r="E20" s="13">
        <v>38.93</v>
      </c>
      <c r="F20" s="43">
        <f t="shared" si="0"/>
        <v>39.195</v>
      </c>
      <c r="G20" s="43">
        <v>39.08</v>
      </c>
      <c r="H20" s="45">
        <f>649720387-9752872</f>
        <v>639967515</v>
      </c>
      <c r="I20" s="45">
        <v>0</v>
      </c>
      <c r="J20" s="45">
        <f>25138000000+1782000000</f>
        <v>26920000000</v>
      </c>
    </row>
    <row r="21" spans="1:14" ht="15.75">
      <c r="A21" s="22" t="s">
        <v>120</v>
      </c>
      <c r="B21" s="3" t="s">
        <v>121</v>
      </c>
      <c r="C21" s="2" t="s">
        <v>76</v>
      </c>
      <c r="D21" s="13">
        <v>14.35</v>
      </c>
      <c r="E21" s="13">
        <v>14.18</v>
      </c>
      <c r="F21" s="43">
        <f t="shared" si="0"/>
        <v>14.265000000000001</v>
      </c>
      <c r="G21" s="43">
        <v>14.24</v>
      </c>
      <c r="H21" s="45">
        <v>320000000</v>
      </c>
      <c r="I21" s="45">
        <v>0</v>
      </c>
      <c r="J21" s="45">
        <f>3651000000+355000000</f>
        <v>4006000000</v>
      </c>
    </row>
    <row r="22" spans="1:14" ht="15.75">
      <c r="A22" s="102" t="s">
        <v>98</v>
      </c>
      <c r="B22" s="70" t="s">
        <v>99</v>
      </c>
      <c r="C22" s="13" t="s">
        <v>76</v>
      </c>
      <c r="D22" s="13">
        <v>39.82</v>
      </c>
      <c r="E22" s="43">
        <v>39</v>
      </c>
      <c r="F22" s="43">
        <f t="shared" si="0"/>
        <v>39.409999999999997</v>
      </c>
      <c r="G22" s="43">
        <v>39.299999999999997</v>
      </c>
      <c r="H22" s="45">
        <f>82335970-31956047</f>
        <v>50379923</v>
      </c>
      <c r="I22" s="45">
        <v>0</v>
      </c>
      <c r="J22" s="45">
        <f>2717420000+391798000</f>
        <v>3109218000</v>
      </c>
    </row>
    <row r="23" spans="1:14" ht="15.75">
      <c r="A23" s="22" t="s">
        <v>112</v>
      </c>
      <c r="B23" s="3" t="s">
        <v>113</v>
      </c>
      <c r="C23" s="2" t="s">
        <v>76</v>
      </c>
      <c r="D23" s="13">
        <v>43.16</v>
      </c>
      <c r="E23" s="13">
        <v>42.61</v>
      </c>
      <c r="F23" s="43">
        <f t="shared" si="0"/>
        <v>42.884999999999998</v>
      </c>
      <c r="G23" s="43">
        <v>42.84</v>
      </c>
      <c r="H23" s="45">
        <f>888111634-295991525</f>
        <v>592120109</v>
      </c>
      <c r="I23" s="45">
        <v>0</v>
      </c>
      <c r="J23" s="45">
        <f>10274000000+453000000</f>
        <v>10727000000</v>
      </c>
      <c r="M23" t="s">
        <v>6</v>
      </c>
    </row>
    <row r="24" spans="1:14" ht="15.75">
      <c r="A24" s="22" t="s">
        <v>122</v>
      </c>
      <c r="B24" s="3" t="s">
        <v>123</v>
      </c>
      <c r="C24" s="2" t="s">
        <v>76</v>
      </c>
      <c r="D24" s="13">
        <v>22.33</v>
      </c>
      <c r="E24" s="13">
        <v>21.79</v>
      </c>
      <c r="F24" s="43">
        <f t="shared" si="0"/>
        <v>22.06</v>
      </c>
      <c r="G24" s="43">
        <v>21.85</v>
      </c>
      <c r="H24" s="45">
        <f>108429827-1792112</f>
        <v>106637715</v>
      </c>
      <c r="I24" s="45">
        <v>0</v>
      </c>
      <c r="J24" s="45">
        <f>2975823000+208948000</f>
        <v>3184771000</v>
      </c>
      <c r="M24" t="s">
        <v>6</v>
      </c>
    </row>
    <row r="25" spans="1:14" ht="15.75">
      <c r="A25" s="22" t="s">
        <v>43</v>
      </c>
      <c r="B25" s="3" t="s">
        <v>44</v>
      </c>
      <c r="C25" s="2" t="s">
        <v>45</v>
      </c>
      <c r="D25" s="13">
        <v>44.71</v>
      </c>
      <c r="E25" s="13">
        <v>43.72</v>
      </c>
      <c r="F25" s="43">
        <f t="shared" si="0"/>
        <v>44.215000000000003</v>
      </c>
      <c r="G25" s="43">
        <v>43.78</v>
      </c>
      <c r="H25" s="44">
        <v>323810825</v>
      </c>
      <c r="I25" s="45">
        <v>0</v>
      </c>
      <c r="J25" s="45">
        <f>30361000000+3002000000</f>
        <v>33363000000</v>
      </c>
    </row>
    <row r="26" spans="1:14" ht="16.5" thickBo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4" ht="15.7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4" ht="15.7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4" ht="16.5" thickBot="1">
      <c r="A29" s="47"/>
      <c r="B29" s="47"/>
      <c r="C29" s="47"/>
      <c r="D29" s="47"/>
      <c r="E29" s="35" t="s">
        <v>6</v>
      </c>
      <c r="F29" s="47"/>
      <c r="G29" s="47"/>
      <c r="H29" s="47"/>
      <c r="I29" s="47"/>
      <c r="J29" s="47"/>
      <c r="K29" s="47"/>
      <c r="L29" s="47"/>
    </row>
    <row r="30" spans="1:14" ht="15.75">
      <c r="A30" s="110"/>
      <c r="B30" s="111"/>
      <c r="C30" s="111"/>
      <c r="D30" s="112" t="s">
        <v>23</v>
      </c>
      <c r="E30" s="111" t="s">
        <v>23</v>
      </c>
      <c r="F30" s="112" t="s">
        <v>23</v>
      </c>
      <c r="G30" s="112" t="s">
        <v>23</v>
      </c>
      <c r="H30" s="112" t="s">
        <v>23</v>
      </c>
      <c r="I30" s="112" t="s">
        <v>23</v>
      </c>
      <c r="J30" s="113" t="s">
        <v>23</v>
      </c>
    </row>
    <row r="31" spans="1:14" ht="15.75">
      <c r="A31" s="114" t="s">
        <v>6</v>
      </c>
      <c r="B31" s="36" t="s">
        <v>26</v>
      </c>
      <c r="C31" s="36" t="s">
        <v>27</v>
      </c>
      <c r="D31" s="36" t="s">
        <v>25</v>
      </c>
      <c r="E31" s="38" t="s">
        <v>31</v>
      </c>
      <c r="F31" s="36" t="s">
        <v>46</v>
      </c>
      <c r="G31" s="38" t="s">
        <v>47</v>
      </c>
      <c r="H31" s="38" t="s">
        <v>48</v>
      </c>
      <c r="I31" s="38" t="s">
        <v>49</v>
      </c>
      <c r="J31" s="115" t="s">
        <v>50</v>
      </c>
    </row>
    <row r="32" spans="1:14" ht="16.5" thickBot="1">
      <c r="A32" s="116" t="s">
        <v>33</v>
      </c>
      <c r="B32" s="39" t="s">
        <v>34</v>
      </c>
      <c r="C32" s="39" t="s">
        <v>35</v>
      </c>
      <c r="D32" s="39" t="s">
        <v>51</v>
      </c>
      <c r="E32" s="39" t="s">
        <v>51</v>
      </c>
      <c r="F32" s="39" t="s">
        <v>51</v>
      </c>
      <c r="G32" s="39" t="s">
        <v>51</v>
      </c>
      <c r="H32" s="39" t="s">
        <v>52</v>
      </c>
      <c r="I32" s="39" t="s">
        <v>6</v>
      </c>
      <c r="J32" s="117" t="s">
        <v>6</v>
      </c>
    </row>
    <row r="33" spans="1:11" ht="15.75">
      <c r="A33" s="118" t="s">
        <v>40</v>
      </c>
      <c r="B33" s="41" t="s">
        <v>40</v>
      </c>
      <c r="C33" s="41" t="s">
        <v>40</v>
      </c>
      <c r="D33" s="41" t="s">
        <v>53</v>
      </c>
      <c r="E33" s="41" t="s">
        <v>42</v>
      </c>
      <c r="F33" s="41" t="s">
        <v>53</v>
      </c>
      <c r="G33" s="41" t="s">
        <v>42</v>
      </c>
      <c r="H33" s="41" t="s">
        <v>53</v>
      </c>
      <c r="I33" s="41" t="s">
        <v>53</v>
      </c>
      <c r="J33" s="119" t="s">
        <v>53</v>
      </c>
    </row>
    <row r="34" spans="1:11" ht="15.75">
      <c r="A34" s="114"/>
      <c r="B34" s="36"/>
      <c r="C34" s="36"/>
      <c r="D34" s="47"/>
      <c r="E34" s="47"/>
      <c r="G34" s="42"/>
      <c r="H34" s="42"/>
      <c r="I34" s="42"/>
      <c r="J34" s="120"/>
    </row>
    <row r="35" spans="1:11" ht="15.75">
      <c r="A35" s="121" t="str">
        <f t="shared" ref="A35:C43" si="1">+A17</f>
        <v xml:space="preserve">Alaska Air </v>
      </c>
      <c r="B35" s="3" t="str">
        <f t="shared" si="1"/>
        <v>ALK</v>
      </c>
      <c r="C35" s="2" t="str">
        <f t="shared" si="1"/>
        <v>AirTrans</v>
      </c>
      <c r="D35" s="122">
        <f>+G17*(H17)</f>
        <v>6072719732</v>
      </c>
      <c r="E35" s="123">
        <f t="shared" ref="E35:E43" si="2">(1/1)*I17</f>
        <v>0</v>
      </c>
      <c r="F35" s="122">
        <f>G57</f>
        <v>1547000000</v>
      </c>
      <c r="G35" s="45">
        <f>(1919/1821)*J17</f>
        <v>2675640307.5233383</v>
      </c>
      <c r="H35" s="45">
        <f>+D35+E35+F35+G35</f>
        <v>10295360039.523338</v>
      </c>
      <c r="I35" s="124">
        <f t="shared" ref="I35:I43" si="3">+D35/H35</f>
        <v>0.58985015664213325</v>
      </c>
      <c r="J35" s="125">
        <f>(+F35+G35)/H35</f>
        <v>0.41014984335786675</v>
      </c>
    </row>
    <row r="36" spans="1:11" ht="15.75">
      <c r="A36" s="121" t="str">
        <f t="shared" si="1"/>
        <v xml:space="preserve">Allegiant Travel Co. </v>
      </c>
      <c r="B36" s="3" t="str">
        <f t="shared" si="1"/>
        <v>ALGT</v>
      </c>
      <c r="C36" s="2" t="str">
        <f t="shared" si="1"/>
        <v>AirTrans</v>
      </c>
      <c r="D36" s="122">
        <f>+G18*(H18)</f>
        <v>2143285561.76</v>
      </c>
      <c r="E36" s="123">
        <f t="shared" si="2"/>
        <v>0</v>
      </c>
      <c r="F36" s="126">
        <f t="shared" ref="F36:F42" si="4">G58</f>
        <v>134148000</v>
      </c>
      <c r="G36" s="45">
        <f>(1261170/1447462)*J18</f>
        <v>1518269847.9338317</v>
      </c>
      <c r="H36" s="45">
        <f>+D36+E36+F36+G36</f>
        <v>3795703409.6938319</v>
      </c>
      <c r="I36" s="124">
        <f>+D36/H36</f>
        <v>0.56466096805305477</v>
      </c>
      <c r="J36" s="125">
        <f>(+F36+G36)/H36</f>
        <v>0.43533903194694512</v>
      </c>
    </row>
    <row r="37" spans="1:11" ht="15.75">
      <c r="A37" s="121" t="str">
        <f t="shared" si="1"/>
        <v>American Airlines Group</v>
      </c>
      <c r="B37" s="3" t="str">
        <f t="shared" si="1"/>
        <v>AAL</v>
      </c>
      <c r="C37" s="2" t="str">
        <f t="shared" si="1"/>
        <v>Airtrans</v>
      </c>
      <c r="D37" s="122">
        <f>+G19*(H19)</f>
        <v>11633187606.200001</v>
      </c>
      <c r="E37" s="123">
        <f t="shared" si="2"/>
        <v>0</v>
      </c>
      <c r="F37" s="122">
        <f t="shared" si="4"/>
        <v>8117000000</v>
      </c>
      <c r="G37" s="45">
        <f>(38567/37323)*J19</f>
        <v>39328564692.012962</v>
      </c>
      <c r="H37" s="45">
        <f t="shared" ref="H37:H43" si="5">+D37+E37+F37+G37</f>
        <v>59078752298.212967</v>
      </c>
      <c r="I37" s="124">
        <f t="shared" si="3"/>
        <v>0.19690983904803766</v>
      </c>
      <c r="J37" s="125">
        <f t="shared" ref="J37:J43" si="6">(+F37+G37)/H37</f>
        <v>0.80309016095196228</v>
      </c>
    </row>
    <row r="38" spans="1:11" ht="15.75">
      <c r="A38" s="121" t="str">
        <f t="shared" si="1"/>
        <v xml:space="preserve">Delta Air Lines </v>
      </c>
      <c r="B38" s="3" t="str">
        <f t="shared" si="1"/>
        <v>DAL</v>
      </c>
      <c r="C38" s="2" t="str">
        <f t="shared" si="1"/>
        <v>Airtrans</v>
      </c>
      <c r="D38" s="122">
        <f>+G20*(H20)</f>
        <v>25009930486.200001</v>
      </c>
      <c r="E38" s="123">
        <f t="shared" si="2"/>
        <v>0</v>
      </c>
      <c r="F38" s="122">
        <f>G60</f>
        <v>7759000000</v>
      </c>
      <c r="G38" s="45">
        <f>(26900/25084)*J20</f>
        <v>28868920427.364056</v>
      </c>
      <c r="H38" s="45">
        <f t="shared" si="5"/>
        <v>61637850913.564056</v>
      </c>
      <c r="I38" s="124">
        <f t="shared" si="3"/>
        <v>0.40575604300792228</v>
      </c>
      <c r="J38" s="125">
        <f t="shared" si="6"/>
        <v>0.59424395699207777</v>
      </c>
    </row>
    <row r="39" spans="1:11" ht="15.75">
      <c r="A39" s="121" t="str">
        <f t="shared" si="1"/>
        <v xml:space="preserve">JetBlue Airways </v>
      </c>
      <c r="B39" s="3" t="str">
        <f t="shared" si="1"/>
        <v>JBLU</v>
      </c>
      <c r="C39" s="2" t="str">
        <f t="shared" si="1"/>
        <v>AirTrans</v>
      </c>
      <c r="D39" s="122">
        <f t="shared" ref="D39:D43" si="7">+G21*(H21)</f>
        <v>4556800000</v>
      </c>
      <c r="E39" s="123">
        <f t="shared" si="2"/>
        <v>0</v>
      </c>
      <c r="F39" s="122">
        <f t="shared" si="4"/>
        <v>796000000</v>
      </c>
      <c r="G39" s="45">
        <f>(3982/4003)*J21</f>
        <v>3984984261.8036475</v>
      </c>
      <c r="H39" s="45">
        <f t="shared" si="5"/>
        <v>9337784261.803648</v>
      </c>
      <c r="I39" s="124">
        <f t="shared" si="3"/>
        <v>0.48799585343170343</v>
      </c>
      <c r="J39" s="125">
        <f t="shared" si="6"/>
        <v>0.51200414656829663</v>
      </c>
    </row>
    <row r="40" spans="1:11" ht="15.75">
      <c r="A40" s="121" t="str">
        <f t="shared" si="1"/>
        <v>Skywest Inc</v>
      </c>
      <c r="B40" s="3" t="str">
        <f t="shared" si="1"/>
        <v>SKYW</v>
      </c>
      <c r="C40" s="2" t="str">
        <f t="shared" si="1"/>
        <v>AirTrans</v>
      </c>
      <c r="D40" s="122">
        <f t="shared" si="7"/>
        <v>1979930973.8999999</v>
      </c>
      <c r="E40" s="123">
        <f t="shared" si="2"/>
        <v>0</v>
      </c>
      <c r="F40" s="122">
        <f t="shared" si="4"/>
        <v>237160000</v>
      </c>
      <c r="G40" s="45">
        <f>(3132.1/3140.9)*J22</f>
        <v>3100506764.8763089</v>
      </c>
      <c r="H40" s="45">
        <f t="shared" si="5"/>
        <v>5317597738.7763081</v>
      </c>
      <c r="I40" s="124">
        <f t="shared" si="3"/>
        <v>0.37233560550513245</v>
      </c>
      <c r="J40" s="125">
        <f t="shared" si="6"/>
        <v>0.62766439449486766</v>
      </c>
      <c r="K40" s="85" t="s">
        <v>6</v>
      </c>
    </row>
    <row r="41" spans="1:11" ht="15.75">
      <c r="A41" s="121" t="str">
        <f t="shared" si="1"/>
        <v xml:space="preserve">Southwest Airlines </v>
      </c>
      <c r="B41" s="3" t="str">
        <f t="shared" si="1"/>
        <v>LUV</v>
      </c>
      <c r="C41" s="2" t="str">
        <f t="shared" si="1"/>
        <v>AirTrans</v>
      </c>
      <c r="D41" s="122">
        <f t="shared" si="7"/>
        <v>25366425469.560001</v>
      </c>
      <c r="E41" s="123">
        <f t="shared" si="2"/>
        <v>0</v>
      </c>
      <c r="F41" s="122">
        <f t="shared" si="4"/>
        <v>1554000000</v>
      </c>
      <c r="G41" s="45">
        <f>((305+73+1311+2802+1724+314+321+2294+140+499+958+548+507)/(300+71+1250+1842+1550+300+300+2000+116+500+976+566+526))*J23</f>
        <v>12288597844.032244</v>
      </c>
      <c r="H41" s="45">
        <f t="shared" si="5"/>
        <v>39209023313.592247</v>
      </c>
      <c r="I41" s="124">
        <f t="shared" si="3"/>
        <v>0.64695377047982849</v>
      </c>
      <c r="J41" s="125">
        <f t="shared" si="6"/>
        <v>0.35304622952017151</v>
      </c>
    </row>
    <row r="42" spans="1:11" ht="15.75">
      <c r="A42" s="121" t="str">
        <f t="shared" si="1"/>
        <v xml:space="preserve">Spirit Airlines </v>
      </c>
      <c r="B42" s="3" t="str">
        <f t="shared" si="1"/>
        <v>SAVE</v>
      </c>
      <c r="C42" s="2" t="str">
        <f t="shared" si="1"/>
        <v>AirTrans</v>
      </c>
      <c r="D42" s="122">
        <f t="shared" si="7"/>
        <v>2330034072.75</v>
      </c>
      <c r="E42" s="123">
        <f t="shared" si="2"/>
        <v>0</v>
      </c>
      <c r="F42" s="122">
        <f t="shared" si="4"/>
        <v>1909982000</v>
      </c>
      <c r="G42" s="45">
        <f>(3275.8/3238.2)*J24</f>
        <v>3221750615.0948062</v>
      </c>
      <c r="H42" s="45">
        <f t="shared" si="5"/>
        <v>7461766687.8448067</v>
      </c>
      <c r="I42" s="124">
        <f t="shared" si="3"/>
        <v>0.31226305648843428</v>
      </c>
      <c r="J42" s="125">
        <f t="shared" si="6"/>
        <v>0.68773694351156567</v>
      </c>
    </row>
    <row r="43" spans="1:11" ht="16.5" thickBot="1">
      <c r="A43" s="127" t="str">
        <f t="shared" si="1"/>
        <v>United Airlines Holdings Inc</v>
      </c>
      <c r="B43" s="7" t="str">
        <f t="shared" si="1"/>
        <v>UAL</v>
      </c>
      <c r="C43" s="17" t="str">
        <f t="shared" si="1"/>
        <v>Airtrans</v>
      </c>
      <c r="D43" s="49">
        <f t="shared" si="7"/>
        <v>14176437918.5</v>
      </c>
      <c r="E43" s="50">
        <f t="shared" si="2"/>
        <v>0</v>
      </c>
      <c r="F43" s="128">
        <f>G65</f>
        <v>5708000000</v>
      </c>
      <c r="G43" s="52">
        <f>(34550/33363)*J25</f>
        <v>34550000000</v>
      </c>
      <c r="H43" s="52">
        <f t="shared" si="5"/>
        <v>54434437918.5</v>
      </c>
      <c r="I43" s="53">
        <f t="shared" si="3"/>
        <v>0.26043141916382345</v>
      </c>
      <c r="J43" s="129">
        <f t="shared" si="6"/>
        <v>0.73956858083617649</v>
      </c>
    </row>
    <row r="44" spans="1:11">
      <c r="G44" s="3" t="s">
        <v>6</v>
      </c>
    </row>
    <row r="45" spans="1:11" ht="15.75">
      <c r="H45" s="54" t="s">
        <v>54</v>
      </c>
      <c r="I45" s="54" t="s">
        <v>55</v>
      </c>
      <c r="J45" s="54" t="s">
        <v>56</v>
      </c>
    </row>
    <row r="46" spans="1:11" ht="15.75">
      <c r="A46" s="22" t="s">
        <v>57</v>
      </c>
      <c r="H46" s="54" t="s">
        <v>58</v>
      </c>
      <c r="I46" s="11">
        <f>MEDIAN(I35:I43)</f>
        <v>0.40575604300792228</v>
      </c>
      <c r="J46" s="11">
        <f>MEDIAN(J35:J43)</f>
        <v>0.59424395699207777</v>
      </c>
    </row>
    <row r="47" spans="1:11" ht="15.75">
      <c r="A47" s="22" t="s">
        <v>59</v>
      </c>
      <c r="F47" s="55" t="s">
        <v>6</v>
      </c>
      <c r="G47" t="s">
        <v>6</v>
      </c>
      <c r="H47" s="54" t="s">
        <v>29</v>
      </c>
      <c r="I47" s="11">
        <f>AVERAGE(I35:I43)</f>
        <v>0.42635074575778553</v>
      </c>
      <c r="J47" s="11">
        <f>AVERAGE(J35:J43)</f>
        <v>0.57364925424221447</v>
      </c>
    </row>
    <row r="48" spans="1:11" ht="15.75">
      <c r="A48" s="22" t="s">
        <v>60</v>
      </c>
      <c r="C48" s="56"/>
      <c r="D48" s="57"/>
      <c r="H48" s="24"/>
      <c r="I48" s="24"/>
      <c r="J48" s="24"/>
    </row>
    <row r="49" spans="3:10" ht="21">
      <c r="F49" s="55" t="s">
        <v>6</v>
      </c>
      <c r="H49" s="58" t="s">
        <v>20</v>
      </c>
      <c r="I49" s="59">
        <v>0.41</v>
      </c>
      <c r="J49" s="59">
        <v>0.59</v>
      </c>
    </row>
    <row r="50" spans="3:10">
      <c r="C50" s="56"/>
    </row>
    <row r="51" spans="3:10" ht="15.75">
      <c r="C51" s="56" t="s">
        <v>6</v>
      </c>
      <c r="H51" t="s">
        <v>6</v>
      </c>
      <c r="I51" s="24"/>
      <c r="J51" s="24"/>
    </row>
    <row r="52" spans="3:10">
      <c r="C52" s="56"/>
    </row>
    <row r="53" spans="3:10">
      <c r="C53" s="56"/>
    </row>
    <row r="54" spans="3:10">
      <c r="C54" s="56" t="s">
        <v>6</v>
      </c>
      <c r="H54" t="s">
        <v>6</v>
      </c>
    </row>
    <row r="55" spans="3:10">
      <c r="C55" s="56"/>
    </row>
    <row r="56" spans="3:10">
      <c r="C56" s="56"/>
      <c r="D56" s="60" t="s">
        <v>61</v>
      </c>
      <c r="E56" s="61" t="s">
        <v>33</v>
      </c>
      <c r="F56" s="62" t="s">
        <v>62</v>
      </c>
      <c r="G56" s="62" t="s">
        <v>63</v>
      </c>
      <c r="H56" t="s">
        <v>6</v>
      </c>
    </row>
    <row r="57" spans="3:10" ht="15.75">
      <c r="C57" s="56"/>
      <c r="D57" s="98">
        <v>654000000</v>
      </c>
      <c r="E57" s="99" t="str">
        <f t="shared" ref="E57:E65" si="8">+A35</f>
        <v xml:space="preserve">Alaska Air </v>
      </c>
      <c r="F57" s="100">
        <v>1453000000</v>
      </c>
      <c r="G57" s="100">
        <f>268000000+1279000000</f>
        <v>1547000000</v>
      </c>
    </row>
    <row r="58" spans="3:10" ht="15.75">
      <c r="C58" s="56"/>
      <c r="D58" s="98">
        <v>49704000</v>
      </c>
      <c r="E58" s="99" t="str">
        <f t="shared" si="8"/>
        <v xml:space="preserve">Allegiant Travel Co. </v>
      </c>
      <c r="F58" s="100">
        <v>130087000</v>
      </c>
      <c r="G58" s="130">
        <f>(19081+115067)*1000</f>
        <v>134148000</v>
      </c>
      <c r="H58" t="s">
        <v>6</v>
      </c>
    </row>
    <row r="59" spans="3:10" ht="15.75">
      <c r="C59" s="56"/>
      <c r="D59" s="98">
        <v>4634000000</v>
      </c>
      <c r="E59" s="99" t="str">
        <f t="shared" si="8"/>
        <v>American Airlines Group</v>
      </c>
      <c r="F59" s="100">
        <v>7850000000</v>
      </c>
      <c r="G59" s="100">
        <f>(1507+6610)*1000000</f>
        <v>8117000000</v>
      </c>
    </row>
    <row r="60" spans="3:10" ht="15.75">
      <c r="C60" s="56"/>
      <c r="D60" s="98">
        <v>2969000000</v>
      </c>
      <c r="E60" s="99" t="str">
        <f t="shared" si="8"/>
        <v xml:space="preserve">Delta Air Lines </v>
      </c>
      <c r="F60" s="100">
        <v>7237000000</v>
      </c>
      <c r="G60" s="100">
        <f>(703+7056)*1000000</f>
        <v>7759000000</v>
      </c>
    </row>
    <row r="61" spans="3:10" ht="15.75">
      <c r="D61" s="98">
        <v>818000000</v>
      </c>
      <c r="E61" s="99" t="str">
        <f t="shared" si="8"/>
        <v xml:space="preserve">JetBlue Airways </v>
      </c>
      <c r="F61" s="100">
        <v>729000000</v>
      </c>
      <c r="G61" s="100">
        <f>(106+690)*1000000</f>
        <v>796000000</v>
      </c>
    </row>
    <row r="62" spans="3:10" ht="15.75">
      <c r="D62" s="63">
        <f>(89891+4468)*1000</f>
        <v>94359000</v>
      </c>
      <c r="E62" s="64" t="str">
        <f t="shared" si="8"/>
        <v>Skywest Inc</v>
      </c>
      <c r="F62" s="65">
        <v>238516000</v>
      </c>
      <c r="G62" s="65">
        <f>(78886+158274)*1000</f>
        <v>237160000</v>
      </c>
    </row>
    <row r="63" spans="3:10" ht="15.75">
      <c r="D63" s="63">
        <v>935000000</v>
      </c>
      <c r="E63" s="64" t="str">
        <f t="shared" si="8"/>
        <v xml:space="preserve">Southwest Airlines </v>
      </c>
      <c r="F63" s="65">
        <v>1590000000</v>
      </c>
      <c r="G63" s="65">
        <f>(239+1315)*1000000</f>
        <v>1554000000</v>
      </c>
    </row>
    <row r="64" spans="3:10" ht="15.75">
      <c r="D64" s="63">
        <v>449400000</v>
      </c>
      <c r="E64" s="64" t="str">
        <f t="shared" si="8"/>
        <v xml:space="preserve">Spirit Airlines </v>
      </c>
      <c r="F64" s="65">
        <v>1950520000</v>
      </c>
      <c r="G64" s="65">
        <f>(158631+1751351)*1000</f>
        <v>1909982000</v>
      </c>
    </row>
    <row r="65" spans="4:7" ht="15.75">
      <c r="D65" s="63">
        <v>2831000000</v>
      </c>
      <c r="E65" s="64" t="str">
        <f t="shared" si="8"/>
        <v>United Airlines Holdings Inc</v>
      </c>
      <c r="F65" s="65">
        <v>4645000000</v>
      </c>
      <c r="G65" s="65">
        <f>(556+5152)*1000000</f>
        <v>5708000000</v>
      </c>
    </row>
  </sheetData>
  <mergeCells count="2">
    <mergeCell ref="D12:E12"/>
    <mergeCell ref="D13:E13"/>
  </mergeCells>
  <pageMargins left="0.25" right="0.25" top="0.75" bottom="0.75" header="0.3" footer="0.3"/>
  <pageSetup scale="31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AC60-ABCA-40C3-9B58-76CB1890E4BF}">
  <sheetPr codeName="Sheet25">
    <pageSetUpPr fitToPage="1"/>
  </sheetPr>
  <dimension ref="A1:J26"/>
  <sheetViews>
    <sheetView zoomScaleNormal="100" workbookViewId="0">
      <selection activeCell="L12" sqref="L12"/>
    </sheetView>
  </sheetViews>
  <sheetFormatPr defaultRowHeight="15"/>
  <cols>
    <col min="1" max="1" width="39" customWidth="1"/>
    <col min="2" max="2" width="16.5703125" customWidth="1"/>
    <col min="3" max="3" width="12.28515625" bestFit="1" customWidth="1"/>
    <col min="4" max="4" width="14.57031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66" t="s">
        <v>65</v>
      </c>
    </row>
    <row r="6" spans="1:10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6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</row>
    <row r="11" spans="1:10">
      <c r="A11" s="22" t="s">
        <v>116</v>
      </c>
      <c r="B11" s="3" t="s">
        <v>117</v>
      </c>
      <c r="C11" s="3" t="s">
        <v>76</v>
      </c>
      <c r="D11" s="68">
        <v>1.5</v>
      </c>
      <c r="E11" s="69">
        <v>0</v>
      </c>
      <c r="F11" s="3" t="s">
        <v>124</v>
      </c>
      <c r="G11" s="68" t="s">
        <v>125</v>
      </c>
      <c r="H11" s="104" t="s">
        <v>79</v>
      </c>
      <c r="I11" s="72">
        <v>6.83E-2</v>
      </c>
      <c r="J11" s="131" t="s">
        <v>6</v>
      </c>
    </row>
    <row r="12" spans="1:10">
      <c r="A12" s="22" t="s">
        <v>118</v>
      </c>
      <c r="B12" s="3" t="s">
        <v>119</v>
      </c>
      <c r="C12" s="3" t="s">
        <v>76</v>
      </c>
      <c r="D12" s="68">
        <v>1.3</v>
      </c>
      <c r="E12" s="69">
        <v>0.23200000000000001</v>
      </c>
      <c r="F12" s="70" t="s">
        <v>78</v>
      </c>
      <c r="G12" s="68" t="s">
        <v>78</v>
      </c>
      <c r="H12" s="68" t="s">
        <v>126</v>
      </c>
      <c r="I12" s="72">
        <v>7.9799999999999996E-2</v>
      </c>
      <c r="J12" s="68" t="s">
        <v>6</v>
      </c>
    </row>
    <row r="13" spans="1:10">
      <c r="A13" s="22" t="s">
        <v>107</v>
      </c>
      <c r="B13" s="3" t="s">
        <v>106</v>
      </c>
      <c r="C13" s="3" t="s">
        <v>76</v>
      </c>
      <c r="D13" s="68">
        <v>1.6</v>
      </c>
      <c r="E13" s="69">
        <v>0</v>
      </c>
      <c r="F13" s="70" t="s">
        <v>108</v>
      </c>
      <c r="G13" s="68" t="s">
        <v>109</v>
      </c>
      <c r="H13" s="71" t="s">
        <v>110</v>
      </c>
      <c r="I13" s="72">
        <v>8.3299999999999999E-2</v>
      </c>
      <c r="J13" s="68" t="s">
        <v>6</v>
      </c>
    </row>
    <row r="14" spans="1:10">
      <c r="A14" s="22" t="s">
        <v>93</v>
      </c>
      <c r="B14" s="3" t="s">
        <v>94</v>
      </c>
      <c r="C14" s="3" t="s">
        <v>76</v>
      </c>
      <c r="D14" s="68">
        <v>1.55</v>
      </c>
      <c r="E14" s="69">
        <v>0</v>
      </c>
      <c r="F14" s="70" t="s">
        <v>78</v>
      </c>
      <c r="G14" s="68" t="s">
        <v>125</v>
      </c>
      <c r="H14" s="68" t="s">
        <v>96</v>
      </c>
      <c r="I14" s="72">
        <v>3.3500000000000002E-2</v>
      </c>
      <c r="J14" s="68" t="s">
        <v>6</v>
      </c>
    </row>
    <row r="15" spans="1:10">
      <c r="A15" s="22" t="s">
        <v>120</v>
      </c>
      <c r="B15" s="3" t="s">
        <v>121</v>
      </c>
      <c r="C15" s="3" t="s">
        <v>76</v>
      </c>
      <c r="D15" s="68">
        <v>1.65</v>
      </c>
      <c r="E15" s="69">
        <v>0</v>
      </c>
      <c r="F15" s="70" t="s">
        <v>124</v>
      </c>
      <c r="G15" s="68" t="s">
        <v>78</v>
      </c>
      <c r="H15" s="68" t="s">
        <v>79</v>
      </c>
      <c r="I15" s="72">
        <v>6.83E-2</v>
      </c>
      <c r="J15" s="68" t="s">
        <v>6</v>
      </c>
    </row>
    <row r="16" spans="1:10">
      <c r="A16" s="102" t="s">
        <v>98</v>
      </c>
      <c r="B16" s="70" t="s">
        <v>99</v>
      </c>
      <c r="C16" s="70" t="s">
        <v>76</v>
      </c>
      <c r="D16" s="68">
        <v>1.65</v>
      </c>
      <c r="E16" s="69">
        <v>0.25700000000000001</v>
      </c>
      <c r="F16" s="70" t="s">
        <v>78</v>
      </c>
      <c r="G16" s="103"/>
      <c r="H16" s="104" t="s">
        <v>100</v>
      </c>
      <c r="I16" s="72">
        <v>3.3500000000000002E-2</v>
      </c>
      <c r="J16" s="103" t="s">
        <v>6</v>
      </c>
    </row>
    <row r="17" spans="1:10">
      <c r="A17" s="22" t="s">
        <v>112</v>
      </c>
      <c r="B17" s="3" t="s">
        <v>113</v>
      </c>
      <c r="C17" s="3" t="s">
        <v>76</v>
      </c>
      <c r="D17" s="68">
        <v>1.05</v>
      </c>
      <c r="E17" s="69">
        <v>0</v>
      </c>
      <c r="F17" s="70" t="s">
        <v>78</v>
      </c>
      <c r="G17" s="68" t="s">
        <v>127</v>
      </c>
      <c r="H17" s="68" t="s">
        <v>114</v>
      </c>
      <c r="I17" s="72">
        <v>3.3500000000000002E-2</v>
      </c>
      <c r="J17" s="68" t="s">
        <v>6</v>
      </c>
    </row>
    <row r="18" spans="1:10">
      <c r="A18" s="22" t="s">
        <v>122</v>
      </c>
      <c r="B18" s="3" t="s">
        <v>123</v>
      </c>
      <c r="C18" s="3" t="s">
        <v>76</v>
      </c>
      <c r="D18" s="68">
        <v>1.85</v>
      </c>
      <c r="E18" s="69">
        <v>0</v>
      </c>
      <c r="F18" s="70" t="s">
        <v>124</v>
      </c>
      <c r="G18" s="68" t="s">
        <v>124</v>
      </c>
      <c r="H18" s="104" t="s">
        <v>128</v>
      </c>
      <c r="I18" s="72">
        <v>8.3299999999999999E-2</v>
      </c>
      <c r="J18" s="68" t="s">
        <v>6</v>
      </c>
    </row>
    <row r="19" spans="1:10">
      <c r="A19" s="22" t="s">
        <v>43</v>
      </c>
      <c r="B19" s="3" t="s">
        <v>44</v>
      </c>
      <c r="C19" s="3" t="s">
        <v>76</v>
      </c>
      <c r="D19" s="68">
        <v>1.6</v>
      </c>
      <c r="E19" s="69">
        <v>0</v>
      </c>
      <c r="F19" s="70" t="s">
        <v>77</v>
      </c>
      <c r="G19" s="68" t="s">
        <v>78</v>
      </c>
      <c r="H19" s="71" t="s">
        <v>79</v>
      </c>
      <c r="I19" s="72">
        <v>6.83E-2</v>
      </c>
      <c r="J19" s="68" t="s">
        <v>6</v>
      </c>
    </row>
    <row r="20" spans="1:10" ht="15.75" thickBot="1">
      <c r="A20" s="73" t="s">
        <v>6</v>
      </c>
      <c r="B20" s="74" t="s">
        <v>6</v>
      </c>
      <c r="C20" s="74" t="s">
        <v>6</v>
      </c>
      <c r="D20" s="74" t="s">
        <v>6</v>
      </c>
      <c r="E20" s="75" t="s">
        <v>6</v>
      </c>
      <c r="F20" s="74" t="s">
        <v>6</v>
      </c>
      <c r="G20" s="74" t="s">
        <v>6</v>
      </c>
      <c r="H20" s="75" t="s">
        <v>6</v>
      </c>
      <c r="I20" s="76"/>
    </row>
    <row r="21" spans="1:10" ht="15.75" thickTop="1">
      <c r="C21" s="77" t="s">
        <v>54</v>
      </c>
      <c r="D21" s="77" t="s">
        <v>101</v>
      </c>
      <c r="E21" s="77" t="s">
        <v>102</v>
      </c>
      <c r="F21" s="70" t="s">
        <v>6</v>
      </c>
      <c r="G21" s="68"/>
      <c r="H21" s="3"/>
      <c r="I21" s="77" t="s">
        <v>103</v>
      </c>
    </row>
    <row r="22" spans="1:10">
      <c r="C22" s="77" t="s">
        <v>58</v>
      </c>
      <c r="D22" s="78">
        <f>MEDIAN(D11:D19)</f>
        <v>1.6</v>
      </c>
      <c r="E22" s="109">
        <f>MEDIAN(E11:E19)</f>
        <v>0</v>
      </c>
      <c r="F22" s="70" t="s">
        <v>80</v>
      </c>
      <c r="G22" s="68" t="s">
        <v>6</v>
      </c>
      <c r="H22" s="3" t="s">
        <v>81</v>
      </c>
      <c r="I22" s="109">
        <f>MEDIAN(I11:I19)</f>
        <v>6.83E-2</v>
      </c>
    </row>
    <row r="23" spans="1:10">
      <c r="C23" s="77" t="s">
        <v>29</v>
      </c>
      <c r="D23" s="80">
        <f>AVERAGE(D11:D19)</f>
        <v>1.5277777777777777</v>
      </c>
      <c r="E23" s="12">
        <f>AVERAGE(E11:E19)</f>
        <v>5.4333333333333331E-2</v>
      </c>
      <c r="I23" s="12">
        <f>AVERAGE(I11:I19)</f>
        <v>6.1311111111111108E-2</v>
      </c>
    </row>
    <row r="24" spans="1:10">
      <c r="J24" s="82"/>
    </row>
    <row r="25" spans="1:10" ht="21">
      <c r="H25" s="58" t="s">
        <v>82</v>
      </c>
      <c r="I25" s="105">
        <v>6.83E-2</v>
      </c>
      <c r="J25" s="131" t="s">
        <v>6</v>
      </c>
    </row>
    <row r="26" spans="1:10">
      <c r="A26" t="s">
        <v>129</v>
      </c>
    </row>
  </sheetData>
  <pageMargins left="0.25" right="0.25" top="0.75" bottom="0.75" header="0.3" footer="0.3"/>
  <pageSetup scale="66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A56C-2F03-4F40-90E2-161A930D44C8}">
  <sheetPr codeName="Sheet26">
    <pageSetUpPr fitToPage="1"/>
  </sheetPr>
  <dimension ref="A1:L31"/>
  <sheetViews>
    <sheetView zoomScale="90" zoomScaleNormal="90" workbookViewId="0">
      <selection activeCell="L12" sqref="L12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66" t="s">
        <v>65</v>
      </c>
    </row>
    <row r="6" spans="1:12" ht="15.75">
      <c r="A6" s="66"/>
    </row>
    <row r="7" spans="1:12" ht="18.75">
      <c r="A7" s="66"/>
      <c r="D7" s="84" t="s">
        <v>83</v>
      </c>
    </row>
    <row r="8" spans="1:12" ht="18.75">
      <c r="A8" s="66"/>
      <c r="D8" s="84" t="s">
        <v>84</v>
      </c>
    </row>
    <row r="9" spans="1:12" ht="15.75">
      <c r="A9" s="66"/>
    </row>
    <row r="10" spans="1:12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12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12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12">
      <c r="A13" s="8" t="s">
        <v>6</v>
      </c>
      <c r="B13" s="8" t="s">
        <v>6</v>
      </c>
      <c r="C13" s="8" t="s">
        <v>40</v>
      </c>
      <c r="D13" s="8" t="s">
        <v>40</v>
      </c>
      <c r="E13" s="8" t="s">
        <v>6</v>
      </c>
      <c r="F13" s="8" t="s">
        <v>6</v>
      </c>
    </row>
    <row r="14" spans="1:12">
      <c r="A14" s="3"/>
      <c r="B14" s="3"/>
      <c r="C14" s="3"/>
      <c r="D14" s="3"/>
      <c r="E14" s="3"/>
      <c r="F14" s="3"/>
      <c r="H14" s="82"/>
    </row>
    <row r="15" spans="1:12">
      <c r="H15" s="82"/>
      <c r="K15" s="85"/>
      <c r="L15" s="85"/>
    </row>
    <row r="16" spans="1:12">
      <c r="A16" s="22" t="s">
        <v>116</v>
      </c>
      <c r="B16" s="3" t="s">
        <v>117</v>
      </c>
      <c r="C16" s="68">
        <f>'[2]S&amp;D'!G17</f>
        <v>52.1</v>
      </c>
      <c r="D16" s="68">
        <v>10.050000000000001</v>
      </c>
      <c r="E16" s="86">
        <f>C16/D16</f>
        <v>5.1840796019900495</v>
      </c>
      <c r="F16" s="72">
        <f>1/E16</f>
        <v>0.19289827255278311</v>
      </c>
      <c r="K16" s="85"/>
      <c r="L16" s="85"/>
    </row>
    <row r="17" spans="1:12">
      <c r="A17" s="22" t="s">
        <v>118</v>
      </c>
      <c r="B17" s="3" t="s">
        <v>119</v>
      </c>
      <c r="C17" s="68">
        <f>'[2]S&amp;D'!G18</f>
        <v>187.04</v>
      </c>
      <c r="D17" s="68">
        <v>28.4</v>
      </c>
      <c r="E17" s="86">
        <f t="shared" ref="E17:E24" si="0">C17/D17</f>
        <v>6.5859154929577466</v>
      </c>
      <c r="F17" s="72">
        <f t="shared" ref="F17:F24" si="1">1/E17</f>
        <v>0.15183917878528658</v>
      </c>
      <c r="K17" s="85"/>
      <c r="L17" s="85"/>
    </row>
    <row r="18" spans="1:12">
      <c r="A18" s="22" t="s">
        <v>107</v>
      </c>
      <c r="B18" s="3" t="s">
        <v>106</v>
      </c>
      <c r="C18" s="68">
        <f>'[2]S&amp;D'!G19</f>
        <v>17.96</v>
      </c>
      <c r="D18" s="68">
        <v>6.1</v>
      </c>
      <c r="E18" s="86">
        <f t="shared" si="0"/>
        <v>2.9442622950819675</v>
      </c>
      <c r="F18" s="72">
        <f t="shared" si="1"/>
        <v>0.33964365256124718</v>
      </c>
      <c r="G18" t="s">
        <v>6</v>
      </c>
      <c r="K18" s="85"/>
      <c r="L18" s="85"/>
    </row>
    <row r="19" spans="1:12">
      <c r="A19" s="22" t="s">
        <v>93</v>
      </c>
      <c r="B19" s="3" t="s">
        <v>94</v>
      </c>
      <c r="C19" s="68">
        <f>'[2]S&amp;D'!G20</f>
        <v>39.08</v>
      </c>
      <c r="D19" s="68">
        <v>9.25</v>
      </c>
      <c r="E19" s="86">
        <f t="shared" si="0"/>
        <v>4.2248648648648643</v>
      </c>
      <c r="F19" s="72">
        <f t="shared" si="1"/>
        <v>0.23669396110542479</v>
      </c>
      <c r="K19" s="85"/>
      <c r="L19" s="85"/>
    </row>
    <row r="20" spans="1:12">
      <c r="A20" s="22" t="s">
        <v>120</v>
      </c>
      <c r="B20" s="3" t="s">
        <v>121</v>
      </c>
      <c r="C20" s="68">
        <f>'[2]S&amp;D'!G21</f>
        <v>14.24</v>
      </c>
      <c r="D20" s="68">
        <v>3.9</v>
      </c>
      <c r="E20" s="86">
        <f t="shared" si="0"/>
        <v>3.6512820512820516</v>
      </c>
      <c r="F20" s="72">
        <f t="shared" si="1"/>
        <v>0.273876404494382</v>
      </c>
      <c r="K20" s="85"/>
      <c r="L20" s="85"/>
    </row>
    <row r="21" spans="1:12">
      <c r="A21" s="102" t="s">
        <v>98</v>
      </c>
      <c r="B21" s="70" t="s">
        <v>99</v>
      </c>
      <c r="C21" s="68">
        <f>'[2]S&amp;D'!G22</f>
        <v>39.299999999999997</v>
      </c>
      <c r="D21" s="68">
        <v>13.35</v>
      </c>
      <c r="E21" s="86">
        <f t="shared" si="0"/>
        <v>2.9438202247191012</v>
      </c>
      <c r="F21" s="72">
        <f t="shared" si="1"/>
        <v>0.33969465648854963</v>
      </c>
      <c r="K21" s="85"/>
      <c r="L21" s="85"/>
    </row>
    <row r="22" spans="1:12">
      <c r="A22" s="22" t="s">
        <v>112</v>
      </c>
      <c r="B22" s="3" t="s">
        <v>113</v>
      </c>
      <c r="C22" s="68">
        <f>'[2]S&amp;D'!G23</f>
        <v>42.84</v>
      </c>
      <c r="D22" s="68">
        <v>6</v>
      </c>
      <c r="E22" s="86">
        <f t="shared" si="0"/>
        <v>7.1400000000000006</v>
      </c>
      <c r="F22" s="72">
        <f t="shared" si="1"/>
        <v>0.14005602240896359</v>
      </c>
      <c r="G22" s="85" t="s">
        <v>6</v>
      </c>
      <c r="H22" t="s">
        <v>6</v>
      </c>
      <c r="K22" s="85"/>
      <c r="L22" s="85"/>
    </row>
    <row r="23" spans="1:12">
      <c r="A23" s="22" t="s">
        <v>122</v>
      </c>
      <c r="B23" s="3" t="s">
        <v>123</v>
      </c>
      <c r="C23" s="68">
        <f>'[2]S&amp;D'!G24</f>
        <v>21.85</v>
      </c>
      <c r="D23" s="68">
        <v>6.15</v>
      </c>
      <c r="E23" s="86">
        <f t="shared" si="0"/>
        <v>3.5528455284552845</v>
      </c>
      <c r="F23" s="72">
        <f t="shared" si="1"/>
        <v>0.28146453089244849</v>
      </c>
      <c r="K23" s="85"/>
      <c r="L23" s="85"/>
    </row>
    <row r="24" spans="1:12">
      <c r="A24" s="22" t="s">
        <v>43</v>
      </c>
      <c r="B24" s="3" t="s">
        <v>44</v>
      </c>
      <c r="C24" s="68">
        <f>'[2]S&amp;D'!G25</f>
        <v>43.78</v>
      </c>
      <c r="D24" s="68">
        <v>13.95</v>
      </c>
      <c r="E24" s="86">
        <f t="shared" si="0"/>
        <v>3.1383512544802872</v>
      </c>
      <c r="F24" s="72">
        <f t="shared" si="1"/>
        <v>0.31863864778437639</v>
      </c>
      <c r="G24" t="s">
        <v>6</v>
      </c>
    </row>
    <row r="25" spans="1:12" ht="15.75" thickBot="1">
      <c r="A25" s="73" t="s">
        <v>6</v>
      </c>
      <c r="B25" s="74" t="s">
        <v>6</v>
      </c>
      <c r="C25" s="87" t="s">
        <v>6</v>
      </c>
      <c r="D25" s="88" t="s">
        <v>6</v>
      </c>
      <c r="E25" s="89" t="s">
        <v>6</v>
      </c>
      <c r="F25" s="90" t="s">
        <v>6</v>
      </c>
    </row>
    <row r="26" spans="1:12" ht="15.75" thickTop="1">
      <c r="B26" s="3" t="s">
        <v>54</v>
      </c>
      <c r="C26" s="3" t="s">
        <v>130</v>
      </c>
      <c r="D26" s="3" t="s">
        <v>131</v>
      </c>
      <c r="E26" s="3" t="s">
        <v>132</v>
      </c>
      <c r="F26" s="3" t="s">
        <v>133</v>
      </c>
      <c r="I26" t="s">
        <v>6</v>
      </c>
    </row>
    <row r="27" spans="1:12">
      <c r="B27" s="3" t="s">
        <v>58</v>
      </c>
      <c r="C27" s="86">
        <f>MEDIAN(C16:C24)</f>
        <v>39.299999999999997</v>
      </c>
      <c r="D27" s="86">
        <f>MEDIAN(D16:D24)</f>
        <v>9.25</v>
      </c>
      <c r="E27" s="86">
        <f>MEDIAN(E16:E24)</f>
        <v>3.6512820512820516</v>
      </c>
      <c r="F27" s="71">
        <f>MEDIAN(F16:F24)</f>
        <v>0.273876404494382</v>
      </c>
      <c r="G27" s="85" t="s">
        <v>6</v>
      </c>
    </row>
    <row r="28" spans="1:12">
      <c r="B28" s="3" t="s">
        <v>29</v>
      </c>
      <c r="C28" s="86">
        <f>AVERAGE(C16:C24)</f>
        <v>50.91</v>
      </c>
      <c r="D28" s="86">
        <f>AVERAGE(D16:D24)</f>
        <v>10.794444444444444</v>
      </c>
      <c r="E28" s="86">
        <f>AVERAGE(E16:E24)</f>
        <v>4.3739357015368174</v>
      </c>
      <c r="F28" s="71">
        <f>AVERAGE(F16:F24)</f>
        <v>0.25275614745260688</v>
      </c>
    </row>
    <row r="29" spans="1:12">
      <c r="B29" s="3"/>
      <c r="C29" s="86"/>
      <c r="D29" s="86"/>
      <c r="E29" s="86"/>
      <c r="F29" s="81"/>
    </row>
    <row r="30" spans="1:12" ht="21">
      <c r="B30" s="3"/>
      <c r="C30" s="86"/>
      <c r="D30" s="86"/>
      <c r="E30" s="92" t="s">
        <v>20</v>
      </c>
      <c r="F30" s="105">
        <v>0.27389999999999998</v>
      </c>
    </row>
    <row r="31" spans="1:12" ht="21">
      <c r="B31" s="3"/>
      <c r="C31" s="86"/>
      <c r="D31" s="86"/>
      <c r="E31" s="92"/>
      <c r="F31" s="105"/>
    </row>
  </sheetData>
  <pageMargins left="0.25" right="0.25" top="0.75" bottom="0.75" header="0.3" footer="0.3"/>
  <pageSetup scale="78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2389-43CF-42C8-A4B5-51ED210A815D}">
  <sheetPr codeName="Sheet28">
    <pageSetUpPr fitToPage="1"/>
  </sheetPr>
  <dimension ref="A1:G24"/>
  <sheetViews>
    <sheetView zoomScaleNormal="100" workbookViewId="0">
      <selection activeCell="L12" sqref="L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134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132">
        <f>'[3]S&amp;D_AC F FEDEX'!I39</f>
        <v>0.6</v>
      </c>
      <c r="C18" s="101">
        <f>'[3]CF Multiples_AC F FEDEX'!F22</f>
        <v>0.1255</v>
      </c>
      <c r="D18" s="2" t="s">
        <v>6</v>
      </c>
      <c r="E18" s="101">
        <f>+C18</f>
        <v>0.1255</v>
      </c>
      <c r="F18" s="15">
        <f>+E18*B18</f>
        <v>7.5299999999999992E-2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132">
        <f>'[3]S&amp;D_AC F FEDEX'!J39</f>
        <v>0.4</v>
      </c>
      <c r="C20" s="132">
        <f>'[3]Debt_AC F FEDEX'!I17</f>
        <v>3.3500000000000002E-2</v>
      </c>
      <c r="D20" s="9">
        <v>0.26</v>
      </c>
      <c r="E20" s="101">
        <f>+C20*(1-D20)</f>
        <v>2.479E-2</v>
      </c>
      <c r="F20" s="15">
        <f>+B20*E20</f>
        <v>9.9160000000000012E-3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5">
        <f>+F18+F20</f>
        <v>8.5215999999999986E-2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5">
        <v>8.5199999999999998E-2</v>
      </c>
    </row>
  </sheetData>
  <pageMargins left="0.25" right="0.25" top="0.75" bottom="0.75" header="0.3" footer="0.3"/>
  <pageSetup scale="8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23666-F0EF-4B67-9C8C-D96925FB584C}">
  <sheetPr codeName="Sheet29">
    <pageSetUpPr fitToPage="1"/>
  </sheetPr>
  <dimension ref="A1:N57"/>
  <sheetViews>
    <sheetView topLeftCell="A9" zoomScale="70" zoomScaleNormal="70" zoomScalePageLayoutView="70" workbookViewId="0">
      <selection activeCell="H17" sqref="H17"/>
    </sheetView>
  </sheetViews>
  <sheetFormatPr defaultRowHeight="15"/>
  <cols>
    <col min="1" max="1" width="55.7109375" customWidth="1"/>
    <col min="2" max="2" width="22.85546875" customWidth="1"/>
    <col min="3" max="3" width="25.85546875" customWidth="1"/>
    <col min="4" max="4" width="27.42578125" customWidth="1"/>
    <col min="5" max="5" width="22.7109375" customWidth="1"/>
    <col min="6" max="6" width="25.28515625" customWidth="1"/>
    <col min="7" max="7" width="26.140625" customWidth="1"/>
    <col min="8" max="8" width="27.28515625" customWidth="1"/>
    <col min="9" max="9" width="29" customWidth="1"/>
    <col min="10" max="10" width="27.42578125" customWidth="1"/>
    <col min="11" max="11" width="29.42578125" customWidth="1"/>
    <col min="12" max="12" width="30.140625" bestFit="1" customWidth="1"/>
    <col min="13" max="13" width="10.5703125" customWidth="1"/>
    <col min="14" max="14" width="17.1406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22" t="s">
        <v>2</v>
      </c>
    </row>
    <row r="4" spans="1:11">
      <c r="D4" s="4"/>
      <c r="E4" s="4"/>
      <c r="J4" t="s">
        <v>6</v>
      </c>
    </row>
    <row r="6" spans="1:11">
      <c r="A6" s="25" t="s">
        <v>21</v>
      </c>
      <c r="B6" s="26"/>
      <c r="C6" s="26"/>
      <c r="D6" s="26"/>
      <c r="F6" s="27"/>
      <c r="G6" s="28"/>
      <c r="H6" s="28"/>
      <c r="I6" s="29"/>
      <c r="J6" s="29"/>
      <c r="K6" s="29"/>
    </row>
    <row r="7" spans="1:11">
      <c r="A7" s="28"/>
      <c r="B7" s="28"/>
      <c r="C7" s="28"/>
      <c r="D7" s="28"/>
      <c r="E7" s="28"/>
      <c r="F7" s="28" t="s">
        <v>6</v>
      </c>
      <c r="G7" s="28"/>
      <c r="H7" s="28"/>
      <c r="I7" s="28"/>
      <c r="J7" s="28"/>
      <c r="K7" s="28"/>
    </row>
    <row r="8" spans="1:11" ht="15.75" thickBot="1">
      <c r="A8" s="28"/>
      <c r="B8" s="28"/>
      <c r="C8" s="28"/>
      <c r="D8" s="28"/>
      <c r="E8" s="28"/>
      <c r="F8" s="133" t="s">
        <v>6</v>
      </c>
      <c r="G8" s="28"/>
      <c r="H8" s="28"/>
      <c r="I8" s="28"/>
      <c r="J8" s="28"/>
      <c r="K8" s="28"/>
    </row>
    <row r="9" spans="1:11" ht="20.25">
      <c r="A9" s="30" t="s">
        <v>135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thickBot="1">
      <c r="A10" s="31" t="s">
        <v>6</v>
      </c>
      <c r="B10" s="32" t="s">
        <v>6</v>
      </c>
      <c r="C10" s="32" t="s">
        <v>6</v>
      </c>
      <c r="D10" s="32"/>
      <c r="E10" s="32"/>
      <c r="F10" s="32" t="s">
        <v>6</v>
      </c>
      <c r="G10" s="32" t="s">
        <v>6</v>
      </c>
      <c r="H10" s="33"/>
      <c r="I10" s="33"/>
      <c r="J10" s="33"/>
    </row>
    <row r="11" spans="1:11" ht="15.75">
      <c r="A11" s="36"/>
      <c r="B11" s="36"/>
      <c r="F11" s="36" t="s">
        <v>6</v>
      </c>
      <c r="G11" s="36"/>
      <c r="H11" s="35" t="s">
        <v>23</v>
      </c>
      <c r="I11" s="35" t="s">
        <v>6</v>
      </c>
      <c r="J11" s="35" t="s">
        <v>6</v>
      </c>
    </row>
    <row r="12" spans="1:11" ht="15.75">
      <c r="A12" s="36"/>
      <c r="B12" s="36"/>
      <c r="C12" s="36"/>
      <c r="D12" s="378" t="s">
        <v>136</v>
      </c>
      <c r="E12" s="379"/>
      <c r="F12" s="36" t="s">
        <v>29</v>
      </c>
      <c r="G12" s="36"/>
      <c r="H12" s="36" t="s">
        <v>25</v>
      </c>
      <c r="I12" s="35" t="s">
        <v>23</v>
      </c>
      <c r="J12" s="35" t="s">
        <v>23</v>
      </c>
    </row>
    <row r="13" spans="1:11" ht="15.75">
      <c r="A13" s="36" t="s">
        <v>6</v>
      </c>
      <c r="B13" s="36" t="s">
        <v>26</v>
      </c>
      <c r="C13" s="36" t="s">
        <v>27</v>
      </c>
      <c r="D13" s="378" t="s">
        <v>28</v>
      </c>
      <c r="E13" s="379"/>
      <c r="F13" s="35" t="s">
        <v>24</v>
      </c>
      <c r="G13" s="35" t="s">
        <v>23</v>
      </c>
      <c r="H13" s="36" t="s">
        <v>30</v>
      </c>
      <c r="I13" s="36" t="s">
        <v>31</v>
      </c>
      <c r="J13" s="38" t="s">
        <v>32</v>
      </c>
    </row>
    <row r="14" spans="1:11" ht="16.5" thickBot="1">
      <c r="A14" s="39" t="s">
        <v>33</v>
      </c>
      <c r="B14" s="39" t="s">
        <v>34</v>
      </c>
      <c r="C14" s="39" t="s">
        <v>35</v>
      </c>
      <c r="D14" s="134" t="s">
        <v>36</v>
      </c>
      <c r="E14" s="37" t="s">
        <v>37</v>
      </c>
      <c r="F14" s="39" t="s">
        <v>28</v>
      </c>
      <c r="G14" s="39" t="s">
        <v>28</v>
      </c>
      <c r="H14" s="40" t="s">
        <v>92</v>
      </c>
      <c r="I14" s="39" t="s">
        <v>39</v>
      </c>
      <c r="J14" s="39" t="s">
        <v>39</v>
      </c>
    </row>
    <row r="15" spans="1:11" ht="15.75">
      <c r="A15" s="41" t="s">
        <v>40</v>
      </c>
      <c r="B15" s="41" t="s">
        <v>40</v>
      </c>
      <c r="C15" s="41" t="s">
        <v>40</v>
      </c>
      <c r="D15" s="135" t="s">
        <v>42</v>
      </c>
      <c r="E15" s="135" t="s">
        <v>42</v>
      </c>
      <c r="F15" s="135" t="s">
        <v>42</v>
      </c>
      <c r="G15" s="41" t="s">
        <v>40</v>
      </c>
      <c r="H15" s="41" t="s">
        <v>42</v>
      </c>
      <c r="I15" s="41" t="s">
        <v>42</v>
      </c>
      <c r="J15" s="41" t="s">
        <v>42</v>
      </c>
    </row>
    <row r="16" spans="1:11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1" ht="15.75">
      <c r="A17" s="24" t="s">
        <v>137</v>
      </c>
      <c r="B17" s="2" t="s">
        <v>138</v>
      </c>
      <c r="C17" s="2" t="s">
        <v>139</v>
      </c>
      <c r="D17" s="13">
        <v>260.24</v>
      </c>
      <c r="E17" s="13">
        <v>256.93</v>
      </c>
      <c r="F17" s="43">
        <f t="shared" ref="F17" si="0">AVERAGE(D17:E17)</f>
        <v>258.58500000000004</v>
      </c>
      <c r="G17" s="43">
        <v>258.64</v>
      </c>
      <c r="H17" s="45">
        <v>264969342</v>
      </c>
      <c r="I17" s="45">
        <v>0</v>
      </c>
      <c r="J17" s="45">
        <f>20386000000+117000000</f>
        <v>20503000000</v>
      </c>
    </row>
    <row r="18" spans="1:11" ht="16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1" ht="15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1" ht="15.75">
      <c r="A20" s="47"/>
      <c r="B20" s="47"/>
      <c r="C20" s="47"/>
      <c r="D20" s="47" t="s">
        <v>6</v>
      </c>
      <c r="E20" s="47"/>
      <c r="F20" s="47"/>
      <c r="G20" s="47"/>
      <c r="J20" s="136" t="s">
        <v>6</v>
      </c>
      <c r="K20" s="47"/>
    </row>
    <row r="21" spans="1:11" ht="15.75">
      <c r="A21" s="47"/>
      <c r="B21" s="47"/>
      <c r="C21" s="47"/>
      <c r="D21" s="47"/>
      <c r="E21" s="47"/>
      <c r="F21" s="47"/>
      <c r="G21" s="47"/>
      <c r="J21" s="47" t="s">
        <v>6</v>
      </c>
      <c r="K21" s="47" t="s">
        <v>6</v>
      </c>
    </row>
    <row r="22" spans="1:11" ht="15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5.75">
      <c r="A23" s="47"/>
      <c r="B23" s="47"/>
      <c r="C23" s="47"/>
      <c r="D23" s="47"/>
      <c r="E23" s="47"/>
      <c r="F23" s="47"/>
      <c r="G23" s="47"/>
      <c r="H23" s="47" t="s">
        <v>6</v>
      </c>
      <c r="I23" s="47"/>
      <c r="J23" s="47"/>
      <c r="K23" s="47" t="s">
        <v>6</v>
      </c>
    </row>
    <row r="24" spans="1:11" ht="15.75">
      <c r="A24" s="47"/>
      <c r="B24" s="47"/>
      <c r="C24" s="47"/>
      <c r="D24" s="47"/>
      <c r="E24" s="35" t="s">
        <v>6</v>
      </c>
      <c r="F24" s="47"/>
      <c r="G24" s="47"/>
      <c r="H24" s="47"/>
      <c r="I24" s="47"/>
      <c r="J24" s="47"/>
      <c r="K24" s="47"/>
    </row>
    <row r="25" spans="1:11" ht="15.75">
      <c r="A25" s="36"/>
      <c r="B25" s="36"/>
      <c r="C25" s="36"/>
      <c r="D25" s="35" t="s">
        <v>23</v>
      </c>
      <c r="E25" s="35" t="s">
        <v>23</v>
      </c>
      <c r="F25" s="35" t="s">
        <v>23</v>
      </c>
      <c r="G25" s="35" t="s">
        <v>23</v>
      </c>
      <c r="H25" s="35" t="s">
        <v>23</v>
      </c>
      <c r="I25" s="35" t="s">
        <v>23</v>
      </c>
      <c r="J25" s="35" t="s">
        <v>23</v>
      </c>
      <c r="K25" s="47"/>
    </row>
    <row r="26" spans="1:11" ht="15.75">
      <c r="A26" s="36" t="s">
        <v>6</v>
      </c>
      <c r="B26" s="36" t="s">
        <v>26</v>
      </c>
      <c r="C26" s="36" t="s">
        <v>27</v>
      </c>
      <c r="D26" s="36" t="s">
        <v>25</v>
      </c>
      <c r="E26" s="36" t="s">
        <v>31</v>
      </c>
      <c r="F26" s="36" t="s">
        <v>46</v>
      </c>
      <c r="G26" s="38" t="s">
        <v>47</v>
      </c>
      <c r="H26" s="38" t="s">
        <v>48</v>
      </c>
      <c r="I26" s="38" t="s">
        <v>49</v>
      </c>
      <c r="J26" s="38" t="s">
        <v>140</v>
      </c>
      <c r="K26" s="47"/>
    </row>
    <row r="27" spans="1:11" ht="16.5" thickBot="1">
      <c r="A27" s="39" t="s">
        <v>33</v>
      </c>
      <c r="B27" s="39" t="s">
        <v>34</v>
      </c>
      <c r="C27" s="39" t="s">
        <v>35</v>
      </c>
      <c r="D27" s="39" t="s">
        <v>51</v>
      </c>
      <c r="E27" s="39" t="s">
        <v>51</v>
      </c>
      <c r="F27" s="39" t="s">
        <v>51</v>
      </c>
      <c r="G27" s="39" t="s">
        <v>51</v>
      </c>
      <c r="H27" s="39" t="s">
        <v>52</v>
      </c>
      <c r="I27" s="39" t="s">
        <v>6</v>
      </c>
      <c r="J27" s="39" t="s">
        <v>6</v>
      </c>
      <c r="K27" s="47"/>
    </row>
    <row r="28" spans="1:11" ht="15.75">
      <c r="A28" s="41" t="s">
        <v>40</v>
      </c>
      <c r="B28" s="41" t="s">
        <v>40</v>
      </c>
      <c r="C28" s="41" t="s">
        <v>40</v>
      </c>
      <c r="D28" s="41" t="s">
        <v>53</v>
      </c>
      <c r="E28" s="41" t="s">
        <v>42</v>
      </c>
      <c r="F28" s="41" t="s">
        <v>42</v>
      </c>
      <c r="G28" s="41" t="s">
        <v>42</v>
      </c>
      <c r="H28" s="41" t="s">
        <v>53</v>
      </c>
      <c r="I28" s="41" t="s">
        <v>53</v>
      </c>
      <c r="J28" s="41" t="s">
        <v>53</v>
      </c>
      <c r="K28" s="47"/>
    </row>
    <row r="29" spans="1:11" ht="15.75">
      <c r="A29" s="36"/>
      <c r="B29" s="36"/>
      <c r="C29" s="36"/>
      <c r="D29" s="47"/>
      <c r="E29" s="47"/>
      <c r="F29" t="s">
        <v>6</v>
      </c>
      <c r="G29" t="s">
        <v>6</v>
      </c>
      <c r="H29" s="42"/>
      <c r="I29" s="42"/>
      <c r="J29" s="42"/>
      <c r="K29" s="47"/>
    </row>
    <row r="30" spans="1:11" ht="15.75">
      <c r="A30" s="24" t="str">
        <f>+A17</f>
        <v>FedEx Corp ***</v>
      </c>
      <c r="B30" s="2" t="str">
        <f>+B17</f>
        <v>FDX</v>
      </c>
      <c r="C30" s="2" t="str">
        <f>+C17</f>
        <v>Air Trans</v>
      </c>
      <c r="D30" s="137">
        <f>((+H17)*G17)-9075000000</f>
        <v>59456670614.879997</v>
      </c>
      <c r="E30" s="96">
        <f>+K17</f>
        <v>0</v>
      </c>
      <c r="F30" s="96">
        <f>+E47</f>
        <v>16326000000</v>
      </c>
      <c r="G30" s="45">
        <f>+J17*(23100/20000)</f>
        <v>23680965000</v>
      </c>
      <c r="H30" s="45">
        <f t="shared" ref="H30" si="1">+D30+E30+F30+G30</f>
        <v>99463635614.880005</v>
      </c>
      <c r="I30" s="15">
        <f>+D30/H30</f>
        <v>0.59777294734222575</v>
      </c>
      <c r="J30" s="11">
        <f t="shared" ref="J30" si="2">(+E30+F30+G30)/H30</f>
        <v>0.40222705265777414</v>
      </c>
      <c r="K30" s="138" t="s">
        <v>6</v>
      </c>
    </row>
    <row r="31" spans="1:11" ht="15.75">
      <c r="A31" s="24"/>
      <c r="B31" s="2"/>
      <c r="C31" s="2"/>
      <c r="D31" s="137"/>
      <c r="E31" s="137"/>
      <c r="F31" t="s">
        <v>6</v>
      </c>
      <c r="G31" s="139"/>
      <c r="H31" s="139"/>
      <c r="I31" s="140"/>
      <c r="J31" s="140"/>
      <c r="K31" s="47"/>
    </row>
    <row r="32" spans="1:11" ht="16.5" thickBot="1">
      <c r="A32" s="46"/>
      <c r="B32" s="46"/>
      <c r="C32" s="46"/>
      <c r="D32" s="46"/>
      <c r="E32" s="46"/>
      <c r="F32" s="5"/>
      <c r="G32" s="46"/>
      <c r="H32" s="46"/>
      <c r="I32" s="46"/>
      <c r="J32" s="46"/>
      <c r="K32" s="47"/>
    </row>
    <row r="35" spans="1:14" ht="15.75">
      <c r="A35" s="22" t="s">
        <v>57</v>
      </c>
      <c r="H35" s="54"/>
      <c r="I35" s="141"/>
      <c r="J35" s="141"/>
    </row>
    <row r="36" spans="1:14" ht="15.75">
      <c r="A36" s="22" t="s">
        <v>59</v>
      </c>
      <c r="H36" s="54" t="s">
        <v>58</v>
      </c>
      <c r="I36" s="15">
        <f>MEDIAN(I30:I30)</f>
        <v>0.59777294734222575</v>
      </c>
      <c r="J36" s="15">
        <f>MEDIAN(J30:J30)</f>
        <v>0.40222705265777414</v>
      </c>
    </row>
    <row r="37" spans="1:14" ht="15.75">
      <c r="A37" s="102" t="s">
        <v>141</v>
      </c>
      <c r="G37" s="22" t="s">
        <v>6</v>
      </c>
      <c r="H37" s="54" t="s">
        <v>29</v>
      </c>
      <c r="I37" s="15">
        <f>AVERAGE(I30:I30)</f>
        <v>0.59777294734222575</v>
      </c>
      <c r="J37" s="15">
        <f>AVERAGE(J30:J30)</f>
        <v>0.40222705265777414</v>
      </c>
    </row>
    <row r="38" spans="1:14" ht="15.75">
      <c r="A38" s="22" t="s">
        <v>60</v>
      </c>
      <c r="H38" s="24"/>
      <c r="I38" s="24"/>
      <c r="J38" s="24"/>
    </row>
    <row r="39" spans="1:14" ht="21">
      <c r="A39" s="22" t="s">
        <v>142</v>
      </c>
      <c r="H39" s="58" t="s">
        <v>20</v>
      </c>
      <c r="I39" s="59">
        <v>0.6</v>
      </c>
      <c r="J39" s="59">
        <v>0.4</v>
      </c>
      <c r="K39" s="142" t="s">
        <v>6</v>
      </c>
    </row>
    <row r="40" spans="1:14" ht="16.5" thickBot="1">
      <c r="A40" s="5"/>
      <c r="B40" s="5"/>
      <c r="C40" s="5"/>
      <c r="D40" s="5"/>
      <c r="E40" s="5"/>
      <c r="F40" s="5"/>
      <c r="G40" s="5"/>
      <c r="H40" s="5" t="s">
        <v>6</v>
      </c>
      <c r="I40" s="143"/>
      <c r="J40" s="143"/>
      <c r="K40" s="5"/>
      <c r="L40" s="5"/>
      <c r="M40" s="5"/>
      <c r="N40" s="5"/>
    </row>
    <row r="41" spans="1:14" ht="15.75">
      <c r="H41" s="144" t="s">
        <v>6</v>
      </c>
      <c r="I41" s="145" t="s">
        <v>6</v>
      </c>
      <c r="J41" s="145" t="s">
        <v>6</v>
      </c>
      <c r="L41" t="s">
        <v>6</v>
      </c>
    </row>
    <row r="46" spans="1:14">
      <c r="B46" s="60" t="s">
        <v>95</v>
      </c>
      <c r="C46" s="146" t="s">
        <v>33</v>
      </c>
      <c r="D46" s="62" t="s">
        <v>62</v>
      </c>
      <c r="E46" s="62" t="s">
        <v>63</v>
      </c>
    </row>
    <row r="47" spans="1:14" ht="15.75">
      <c r="B47" s="63">
        <v>2371000000</v>
      </c>
      <c r="C47" s="99" t="str">
        <f>+A30</f>
        <v>FedEx Corp ***</v>
      </c>
      <c r="D47" s="65">
        <v>16018000000</v>
      </c>
      <c r="E47" s="65">
        <v>16326000000</v>
      </c>
    </row>
    <row r="49" spans="3:4">
      <c r="D49" t="s">
        <v>6</v>
      </c>
    </row>
    <row r="55" spans="3:4">
      <c r="C55" s="85" t="s">
        <v>6</v>
      </c>
    </row>
    <row r="56" spans="3:4" ht="15.75">
      <c r="C56" s="147" t="s">
        <v>6</v>
      </c>
    </row>
    <row r="57" spans="3:4">
      <c r="D57" s="148" t="s">
        <v>6</v>
      </c>
    </row>
  </sheetData>
  <mergeCells count="2">
    <mergeCell ref="D12:E12"/>
    <mergeCell ref="D13:E13"/>
  </mergeCells>
  <pageMargins left="0.25" right="0.25" top="0.75" bottom="0.75" header="0.3" footer="0.3"/>
  <pageSetup scale="33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5D98-821C-4FEF-8E45-A924F3BB1219}">
  <sheetPr codeName="Sheet30">
    <pageSetUpPr fitToPage="1"/>
  </sheetPr>
  <dimension ref="A1:J17"/>
  <sheetViews>
    <sheetView zoomScaleNormal="100" workbookViewId="0">
      <selection activeCell="L12" sqref="L12"/>
    </sheetView>
  </sheetViews>
  <sheetFormatPr defaultRowHeight="15"/>
  <cols>
    <col min="1" max="1" width="45.140625" customWidth="1"/>
    <col min="2" max="2" width="10.85546875" bestFit="1" customWidth="1"/>
    <col min="3" max="3" width="12.5703125" bestFit="1" customWidth="1"/>
    <col min="4" max="4" width="12.5703125" customWidth="1"/>
    <col min="5" max="5" width="12.28515625" customWidth="1"/>
    <col min="6" max="6" width="10.85546875" customWidth="1"/>
    <col min="7" max="7" width="12.85546875" customWidth="1"/>
    <col min="8" max="8" width="21.85546875" customWidth="1"/>
    <col min="9" max="9" width="15.140625" customWidth="1"/>
    <col min="10" max="10" width="15.5703125" customWidth="1"/>
    <col min="11" max="11" width="13.1406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66" t="s">
        <v>135</v>
      </c>
    </row>
    <row r="6" spans="1:10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143</v>
      </c>
      <c r="I7" s="3" t="s">
        <v>75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  <c r="I10" s="3"/>
    </row>
    <row r="11" spans="1:10">
      <c r="A11" s="22" t="s">
        <v>144</v>
      </c>
      <c r="B11" s="3" t="s">
        <v>138</v>
      </c>
      <c r="C11" s="3" t="s">
        <v>76</v>
      </c>
      <c r="D11" s="68">
        <v>1.05</v>
      </c>
      <c r="E11" s="71">
        <v>0.214</v>
      </c>
      <c r="F11" s="3" t="s">
        <v>145</v>
      </c>
      <c r="G11" s="68" t="s">
        <v>127</v>
      </c>
      <c r="H11" s="68" t="s">
        <v>146</v>
      </c>
      <c r="I11" s="69">
        <v>3.3500000000000002E-2</v>
      </c>
      <c r="J11" t="s">
        <v>6</v>
      </c>
    </row>
    <row r="12" spans="1:10" ht="15.75" thickBot="1">
      <c r="C12" s="76"/>
      <c r="D12" s="73"/>
      <c r="E12" s="73"/>
      <c r="F12" s="76"/>
      <c r="G12" s="73"/>
      <c r="H12" s="73"/>
      <c r="I12" s="73"/>
    </row>
    <row r="13" spans="1:10" ht="15.75" thickTop="1">
      <c r="C13" s="149"/>
      <c r="D13" s="150"/>
      <c r="E13" s="150"/>
      <c r="I13" s="150"/>
    </row>
    <row r="14" spans="1:10">
      <c r="C14" s="77" t="s">
        <v>58</v>
      </c>
      <c r="D14" s="78">
        <f>MEDIAN(D11:D11)</f>
        <v>1.05</v>
      </c>
      <c r="E14" s="79">
        <f>MEDIAN(E11:E11)</f>
        <v>0.214</v>
      </c>
      <c r="I14" s="79">
        <f>MEDIAN(I11:I11)</f>
        <v>3.3500000000000002E-2</v>
      </c>
    </row>
    <row r="15" spans="1:10">
      <c r="C15" s="77" t="s">
        <v>29</v>
      </c>
      <c r="D15" s="80">
        <f>AVERAGE(D11:D11)</f>
        <v>1.05</v>
      </c>
      <c r="E15" s="81">
        <f>AVERAGE(E11:E11)</f>
        <v>0.214</v>
      </c>
      <c r="I15" s="81">
        <f>AVERAGE(I11:I11)</f>
        <v>3.3500000000000002E-2</v>
      </c>
    </row>
    <row r="16" spans="1:10">
      <c r="J16" s="151"/>
    </row>
    <row r="17" spans="8:10" ht="21">
      <c r="H17" s="58" t="s">
        <v>82</v>
      </c>
      <c r="I17" s="83">
        <v>3.3500000000000002E-2</v>
      </c>
      <c r="J17" s="152" t="s">
        <v>6</v>
      </c>
    </row>
  </sheetData>
  <pageMargins left="0.25" right="0.25" top="0.75" bottom="0.75" header="0.3" footer="0.3"/>
  <pageSetup scale="71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3ED0-16F8-452F-9EB8-E9674FD85903}">
  <sheetPr codeName="Sheet31">
    <pageSetUpPr fitToPage="1"/>
  </sheetPr>
  <dimension ref="A1:F23"/>
  <sheetViews>
    <sheetView zoomScale="90" zoomScaleNormal="90" workbookViewId="0">
      <selection activeCell="L12" sqref="L12"/>
    </sheetView>
  </sheetViews>
  <sheetFormatPr defaultRowHeight="15"/>
  <cols>
    <col min="1" max="1" width="43.7109375" customWidth="1"/>
    <col min="2" max="2" width="14.42578125" bestFit="1" customWidth="1"/>
    <col min="3" max="3" width="18.85546875" customWidth="1"/>
    <col min="4" max="4" width="20.42578125" customWidth="1"/>
    <col min="5" max="5" width="14.7109375" bestFit="1" customWidth="1"/>
    <col min="6" max="6" width="21.7109375" customWidth="1"/>
    <col min="7" max="7" width="9.1406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 t="s">
        <v>6</v>
      </c>
    </row>
    <row r="5" spans="1:6" ht="15.75">
      <c r="A5" s="66" t="s">
        <v>135</v>
      </c>
    </row>
    <row r="6" spans="1:6" ht="15.75">
      <c r="A6" s="66"/>
    </row>
    <row r="7" spans="1:6" ht="18.75">
      <c r="A7" s="66"/>
      <c r="D7" s="84" t="s">
        <v>83</v>
      </c>
    </row>
    <row r="8" spans="1:6" ht="18.75">
      <c r="A8" s="66"/>
      <c r="D8" s="84" t="s">
        <v>84</v>
      </c>
    </row>
    <row r="9" spans="1:6" ht="15.75">
      <c r="A9" s="66"/>
      <c r="D9" s="153" t="s">
        <v>6</v>
      </c>
    </row>
    <row r="10" spans="1:6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6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6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6">
      <c r="A13" s="8" t="s">
        <v>6</v>
      </c>
      <c r="B13" s="8" t="s">
        <v>6</v>
      </c>
      <c r="C13" s="8" t="s">
        <v>40</v>
      </c>
      <c r="D13" s="154" t="s">
        <v>147</v>
      </c>
      <c r="E13" s="8" t="s">
        <v>6</v>
      </c>
      <c r="F13" s="8" t="s">
        <v>6</v>
      </c>
    </row>
    <row r="14" spans="1:6">
      <c r="A14" s="3"/>
      <c r="B14" s="3"/>
      <c r="C14" s="3"/>
      <c r="D14" s="3"/>
      <c r="E14" s="3"/>
      <c r="F14" s="3"/>
    </row>
    <row r="15" spans="1:6">
      <c r="A15" s="22" t="s">
        <v>6</v>
      </c>
      <c r="B15" s="3" t="s">
        <v>6</v>
      </c>
      <c r="C15" s="68" t="s">
        <v>6</v>
      </c>
      <c r="D15" s="68" t="s">
        <v>6</v>
      </c>
      <c r="E15" s="86" t="s">
        <v>6</v>
      </c>
      <c r="F15" s="91" t="s">
        <v>6</v>
      </c>
    </row>
    <row r="16" spans="1:6">
      <c r="A16" s="22" t="s">
        <v>144</v>
      </c>
      <c r="B16" s="3" t="s">
        <v>138</v>
      </c>
      <c r="C16" s="68">
        <v>258.64</v>
      </c>
      <c r="D16" s="68">
        <v>32.46</v>
      </c>
      <c r="E16" s="68">
        <f t="shared" ref="E16" si="0">C16/D16</f>
        <v>7.9679605668515086</v>
      </c>
      <c r="F16" s="71">
        <f t="shared" ref="F16" si="1">1/E16</f>
        <v>0.12550262913702445</v>
      </c>
    </row>
    <row r="17" spans="1:6" ht="15.75" thickBot="1">
      <c r="A17" s="76"/>
      <c r="B17" s="74"/>
      <c r="C17" s="74"/>
      <c r="D17" s="89"/>
      <c r="E17" s="89"/>
      <c r="F17" s="75"/>
    </row>
    <row r="18" spans="1:6" ht="15.75" thickTop="1">
      <c r="B18" s="3"/>
      <c r="C18" s="86"/>
      <c r="D18" s="86"/>
      <c r="E18" s="86"/>
      <c r="F18" s="91"/>
    </row>
    <row r="19" spans="1:6">
      <c r="B19" s="3" t="s">
        <v>58</v>
      </c>
      <c r="C19" s="155">
        <f>MEDIAN(C16:C16)</f>
        <v>258.64</v>
      </c>
      <c r="D19" s="155">
        <f>MEDIAN(D16:D16)</f>
        <v>32.46</v>
      </c>
      <c r="E19" s="155">
        <f>MEDIAN(E16:E16)</f>
        <v>7.9679605668515086</v>
      </c>
      <c r="F19" s="79">
        <f>MEDIAN(F16:F16)</f>
        <v>0.12550262913702445</v>
      </c>
    </row>
    <row r="20" spans="1:6">
      <c r="B20" s="3" t="s">
        <v>29</v>
      </c>
      <c r="C20" s="155">
        <f>AVERAGE(C16:C16)</f>
        <v>258.64</v>
      </c>
      <c r="D20" s="155">
        <f>AVERAGE(D16:D16)</f>
        <v>32.46</v>
      </c>
      <c r="E20" s="155">
        <f>AVERAGE(E16:E16)</f>
        <v>7.9679605668515086</v>
      </c>
      <c r="F20" s="79">
        <f>AVERAGE(F16:F16)</f>
        <v>0.12550262913702445</v>
      </c>
    </row>
    <row r="21" spans="1:6">
      <c r="B21" s="3"/>
      <c r="C21" s="86"/>
      <c r="D21" s="86"/>
      <c r="E21" s="86"/>
      <c r="F21" s="81"/>
    </row>
    <row r="22" spans="1:6" ht="21">
      <c r="B22" s="3"/>
      <c r="C22" s="86"/>
      <c r="D22" s="86"/>
      <c r="E22" s="92" t="s">
        <v>20</v>
      </c>
      <c r="F22" s="83">
        <v>0.1255</v>
      </c>
    </row>
    <row r="23" spans="1:6">
      <c r="B23" s="3"/>
      <c r="C23" s="93"/>
      <c r="D23" s="93"/>
      <c r="E23" s="93"/>
      <c r="F23" s="94"/>
    </row>
  </sheetData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FE6C6-825A-4A80-AF08-F18F929132A2}">
  <sheetPr codeName="Sheet3">
    <pageSetUpPr fitToPage="1"/>
  </sheetPr>
  <dimension ref="A1:L40"/>
  <sheetViews>
    <sheetView topLeftCell="A9" zoomScale="70" zoomScaleNormal="70" zoomScalePageLayoutView="70" workbookViewId="0">
      <selection activeCell="A28" sqref="A28:XFD28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31.710937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22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34"/>
      <c r="C11" s="34"/>
      <c r="F11" s="34"/>
      <c r="G11" s="34"/>
      <c r="H11" s="35" t="s">
        <v>23</v>
      </c>
      <c r="I11" s="35" t="s">
        <v>6</v>
      </c>
      <c r="J11" s="28"/>
    </row>
    <row r="12" spans="1:12" ht="15.75">
      <c r="A12" s="36"/>
      <c r="B12" s="36"/>
      <c r="C12" s="36"/>
      <c r="D12" s="376" t="s">
        <v>24</v>
      </c>
      <c r="E12" s="377"/>
      <c r="F12" s="37" t="s">
        <v>24</v>
      </c>
      <c r="G12" s="36"/>
      <c r="H12" s="36" t="s">
        <v>25</v>
      </c>
      <c r="I12" s="35" t="s">
        <v>23</v>
      </c>
      <c r="J12" s="35" t="s">
        <v>23</v>
      </c>
    </row>
    <row r="13" spans="1:12" ht="15.75">
      <c r="A13" s="36" t="s">
        <v>6</v>
      </c>
      <c r="B13" s="36" t="s">
        <v>26</v>
      </c>
      <c r="C13" s="36" t="s">
        <v>27</v>
      </c>
      <c r="D13" s="376" t="s">
        <v>28</v>
      </c>
      <c r="E13" s="377"/>
      <c r="F13" s="37" t="s">
        <v>29</v>
      </c>
      <c r="G13" s="35" t="s">
        <v>23</v>
      </c>
      <c r="H13" s="36" t="s">
        <v>30</v>
      </c>
      <c r="I13" s="38" t="s">
        <v>31</v>
      </c>
      <c r="J13" s="38" t="s">
        <v>32</v>
      </c>
    </row>
    <row r="14" spans="1:12" ht="16.5" thickBot="1">
      <c r="A14" s="39" t="s">
        <v>33</v>
      </c>
      <c r="B14" s="39" t="s">
        <v>34</v>
      </c>
      <c r="C14" s="39" t="s">
        <v>35</v>
      </c>
      <c r="D14" s="39" t="s">
        <v>36</v>
      </c>
      <c r="E14" s="39" t="s">
        <v>37</v>
      </c>
      <c r="F14" s="39" t="s">
        <v>28</v>
      </c>
      <c r="G14" s="39" t="s">
        <v>28</v>
      </c>
      <c r="H14" s="40" t="s">
        <v>38</v>
      </c>
      <c r="I14" s="39" t="s">
        <v>39</v>
      </c>
      <c r="J14" s="39" t="s">
        <v>39</v>
      </c>
    </row>
    <row r="15" spans="1:12" ht="15.75">
      <c r="A15" s="41" t="s">
        <v>40</v>
      </c>
      <c r="B15" s="41" t="s">
        <v>40</v>
      </c>
      <c r="C15" s="41" t="s">
        <v>40</v>
      </c>
      <c r="D15" s="41" t="s">
        <v>41</v>
      </c>
      <c r="E15" s="41" t="s">
        <v>41</v>
      </c>
      <c r="F15" s="41" t="s">
        <v>41</v>
      </c>
      <c r="G15" s="41" t="s">
        <v>40</v>
      </c>
      <c r="H15" s="41" t="s">
        <v>42</v>
      </c>
      <c r="I15" s="41" t="s">
        <v>42</v>
      </c>
      <c r="J15" s="41" t="s">
        <v>42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2" ht="15.75">
      <c r="A17" s="22" t="s">
        <v>43</v>
      </c>
      <c r="B17" s="3" t="s">
        <v>44</v>
      </c>
      <c r="C17" s="2" t="s">
        <v>45</v>
      </c>
      <c r="D17" s="13">
        <v>44.71</v>
      </c>
      <c r="E17" s="13">
        <v>43.72</v>
      </c>
      <c r="F17" s="43">
        <f t="shared" ref="F17" si="0">AVERAGE(D17,E17)</f>
        <v>44.215000000000003</v>
      </c>
      <c r="G17" s="43">
        <v>43.78</v>
      </c>
      <c r="H17" s="44">
        <v>323810825</v>
      </c>
      <c r="I17" s="45">
        <v>0</v>
      </c>
      <c r="J17" s="45">
        <f>30361000000+3002000000</f>
        <v>33363000000</v>
      </c>
    </row>
    <row r="18" spans="1:12" ht="16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2" ht="15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2" ht="15.7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2" ht="15.75">
      <c r="A21" s="47"/>
      <c r="B21" s="47"/>
      <c r="C21" s="47"/>
      <c r="D21" s="47"/>
      <c r="E21" s="35" t="s">
        <v>6</v>
      </c>
      <c r="F21" s="47"/>
      <c r="G21" s="47"/>
      <c r="H21" s="47"/>
      <c r="I21" s="47"/>
      <c r="J21" s="47"/>
      <c r="K21" s="47"/>
      <c r="L21" s="47"/>
    </row>
    <row r="22" spans="1:12" ht="15.75">
      <c r="A22" s="36"/>
      <c r="B22" s="36"/>
      <c r="C22" s="36"/>
      <c r="D22" s="35" t="s">
        <v>23</v>
      </c>
      <c r="E22" s="35" t="s">
        <v>23</v>
      </c>
      <c r="F22" s="35" t="s">
        <v>23</v>
      </c>
      <c r="G22" s="35" t="s">
        <v>23</v>
      </c>
      <c r="H22" s="35" t="s">
        <v>23</v>
      </c>
      <c r="I22" s="35" t="s">
        <v>23</v>
      </c>
      <c r="J22" s="35" t="s">
        <v>23</v>
      </c>
    </row>
    <row r="23" spans="1:12" ht="15.75">
      <c r="A23" s="36" t="s">
        <v>6</v>
      </c>
      <c r="B23" s="36" t="s">
        <v>26</v>
      </c>
      <c r="C23" s="36" t="s">
        <v>27</v>
      </c>
      <c r="D23" s="36" t="s">
        <v>25</v>
      </c>
      <c r="E23" s="38" t="s">
        <v>31</v>
      </c>
      <c r="F23" s="36" t="s">
        <v>46</v>
      </c>
      <c r="G23" s="38" t="s">
        <v>47</v>
      </c>
      <c r="H23" s="38" t="s">
        <v>48</v>
      </c>
      <c r="I23" s="38" t="s">
        <v>49</v>
      </c>
      <c r="J23" s="38" t="s">
        <v>50</v>
      </c>
    </row>
    <row r="24" spans="1:12" ht="16.5" thickBot="1">
      <c r="A24" s="39" t="s">
        <v>33</v>
      </c>
      <c r="B24" s="39" t="s">
        <v>34</v>
      </c>
      <c r="C24" s="39" t="s">
        <v>35</v>
      </c>
      <c r="D24" s="39" t="s">
        <v>51</v>
      </c>
      <c r="E24" s="39" t="s">
        <v>51</v>
      </c>
      <c r="F24" s="39" t="s">
        <v>51</v>
      </c>
      <c r="G24" s="39" t="s">
        <v>51</v>
      </c>
      <c r="H24" s="39" t="s">
        <v>52</v>
      </c>
      <c r="I24" s="39" t="s">
        <v>6</v>
      </c>
      <c r="J24" s="39" t="s">
        <v>6</v>
      </c>
    </row>
    <row r="25" spans="1:12" ht="15.75">
      <c r="A25" s="41" t="s">
        <v>40</v>
      </c>
      <c r="B25" s="41" t="s">
        <v>40</v>
      </c>
      <c r="C25" s="41" t="s">
        <v>40</v>
      </c>
      <c r="D25" s="41" t="s">
        <v>53</v>
      </c>
      <c r="E25" s="41" t="s">
        <v>42</v>
      </c>
      <c r="F25" s="41" t="s">
        <v>53</v>
      </c>
      <c r="G25" s="41" t="s">
        <v>42</v>
      </c>
      <c r="H25" s="41" t="s">
        <v>53</v>
      </c>
      <c r="I25" s="41" t="s">
        <v>53</v>
      </c>
      <c r="J25" s="41" t="s">
        <v>53</v>
      </c>
    </row>
    <row r="26" spans="1:12" ht="16.5" thickBot="1">
      <c r="A26" s="48" t="str">
        <f>+A17</f>
        <v>United Airlines Holdings Inc</v>
      </c>
      <c r="B26" s="7" t="str">
        <f>+B17</f>
        <v>UAL</v>
      </c>
      <c r="C26" s="17" t="str">
        <f>+C17</f>
        <v>Airtrans</v>
      </c>
      <c r="D26" s="49">
        <f>+G17*(H17)</f>
        <v>14176437918.5</v>
      </c>
      <c r="E26" s="50">
        <f>(1/1)*I17</f>
        <v>0</v>
      </c>
      <c r="F26" s="51">
        <f>G40</f>
        <v>5708000000</v>
      </c>
      <c r="G26" s="52">
        <f>(34550/33363)*J17</f>
        <v>34550000000</v>
      </c>
      <c r="H26" s="52">
        <f t="shared" ref="H26" si="1">+D26+E26+F26+G26</f>
        <v>54434437918.5</v>
      </c>
      <c r="I26" s="53">
        <f t="shared" ref="I26" si="2">+D26/H26</f>
        <v>0.26043141916382345</v>
      </c>
      <c r="J26" s="53">
        <f t="shared" ref="J26" si="3">(+F26+G26)/H26</f>
        <v>0.73956858083617649</v>
      </c>
    </row>
    <row r="27" spans="1:12">
      <c r="G27" s="3" t="s">
        <v>6</v>
      </c>
    </row>
    <row r="28" spans="1:12" ht="15.75">
      <c r="H28" s="54"/>
      <c r="I28" s="54"/>
      <c r="J28" s="54"/>
    </row>
    <row r="29" spans="1:12" ht="15.75">
      <c r="A29" s="22" t="s">
        <v>57</v>
      </c>
      <c r="H29" s="54" t="s">
        <v>58</v>
      </c>
      <c r="I29" s="11">
        <f>MEDIAN(I26:I26)</f>
        <v>0.26043141916382345</v>
      </c>
      <c r="J29" s="11">
        <f>MEDIAN(J26:J26)</f>
        <v>0.73956858083617649</v>
      </c>
    </row>
    <row r="30" spans="1:12" ht="15.75">
      <c r="A30" s="22" t="s">
        <v>59</v>
      </c>
      <c r="F30" s="55" t="s">
        <v>6</v>
      </c>
      <c r="G30" t="s">
        <v>6</v>
      </c>
      <c r="H30" s="54" t="s">
        <v>29</v>
      </c>
      <c r="I30" s="15">
        <f>AVERAGE(I26:I26)</f>
        <v>0.26043141916382345</v>
      </c>
      <c r="J30" s="15">
        <f>AVERAGE(J26:J26)</f>
        <v>0.73956858083617649</v>
      </c>
    </row>
    <row r="31" spans="1:12" ht="15.75">
      <c r="A31" s="22" t="s">
        <v>60</v>
      </c>
      <c r="C31" s="56"/>
      <c r="D31" s="57"/>
      <c r="H31" s="24"/>
      <c r="I31" s="24"/>
      <c r="J31" s="24"/>
    </row>
    <row r="32" spans="1:12" ht="21">
      <c r="F32" s="55" t="s">
        <v>6</v>
      </c>
      <c r="H32" s="58" t="s">
        <v>20</v>
      </c>
      <c r="I32" s="59">
        <v>0.26</v>
      </c>
      <c r="J32" s="59">
        <v>0.74</v>
      </c>
    </row>
    <row r="33" spans="3:10">
      <c r="C33" s="56"/>
    </row>
    <row r="34" spans="3:10" ht="15.75">
      <c r="C34" s="56" t="s">
        <v>6</v>
      </c>
      <c r="H34" t="s">
        <v>6</v>
      </c>
      <c r="I34" s="24"/>
      <c r="J34" s="24"/>
    </row>
    <row r="35" spans="3:10">
      <c r="C35" s="56"/>
    </row>
    <row r="36" spans="3:10">
      <c r="C36" s="56"/>
    </row>
    <row r="37" spans="3:10">
      <c r="C37" s="56" t="s">
        <v>6</v>
      </c>
      <c r="H37" t="s">
        <v>6</v>
      </c>
    </row>
    <row r="38" spans="3:10">
      <c r="C38" s="56"/>
    </row>
    <row r="39" spans="3:10">
      <c r="C39" s="56"/>
      <c r="D39" s="60" t="s">
        <v>61</v>
      </c>
      <c r="E39" s="61" t="s">
        <v>33</v>
      </c>
      <c r="F39" s="62" t="s">
        <v>62</v>
      </c>
      <c r="G39" s="62" t="s">
        <v>63</v>
      </c>
      <c r="H39" t="s">
        <v>6</v>
      </c>
    </row>
    <row r="40" spans="3:10" ht="15.75">
      <c r="D40" s="63">
        <v>2831000000</v>
      </c>
      <c r="E40" s="64" t="str">
        <f t="shared" ref="E40" si="4">+A26</f>
        <v>United Airlines Holdings Inc</v>
      </c>
      <c r="F40" s="65">
        <v>4645000000</v>
      </c>
      <c r="G40" s="65">
        <f>(556+5152)*1000000</f>
        <v>5708000000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C50E-CF0C-4385-AF72-A59E579A5F51}">
  <sheetPr codeName="Sheet32">
    <pageSetUpPr fitToPage="1"/>
  </sheetPr>
  <dimension ref="A1:G24"/>
  <sheetViews>
    <sheetView topLeftCell="A6" zoomScaleNormal="100" workbookViewId="0">
      <selection activeCell="C16" sqref="C16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148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132">
        <f>'[3]S&amp;D_AC F UPS'!I39</f>
        <v>0.87</v>
      </c>
      <c r="C18" s="101">
        <f>'[3]CF Multiples_AC F UPS'!F22</f>
        <v>7.2499999999999995E-2</v>
      </c>
      <c r="D18" s="2" t="s">
        <v>6</v>
      </c>
      <c r="E18" s="101">
        <f>+C18</f>
        <v>7.2499999999999995E-2</v>
      </c>
      <c r="F18" s="15">
        <f>+E18*B18</f>
        <v>6.3074999999999992E-2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132">
        <f>'[3]S&amp;D_AC F UPS'!J39</f>
        <v>0.13</v>
      </c>
      <c r="C20" s="9">
        <f>'[3]Debt_AC F UPS'!I17</f>
        <v>3.0200000000000001E-2</v>
      </c>
      <c r="D20" s="9">
        <v>0.26</v>
      </c>
      <c r="E20" s="10">
        <f>+C20*(1-D20)</f>
        <v>2.2348E-2</v>
      </c>
      <c r="F20" s="11">
        <f>+B20*E20</f>
        <v>2.9052399999999999E-3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6.5980239999999996E-2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6.6000000000000003E-2</v>
      </c>
    </row>
  </sheetData>
  <pageMargins left="0.25" right="0.25" top="0.75" bottom="0.75" header="0.3" footer="0.3"/>
  <pageSetup scale="8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09BA-A874-47B3-871A-CF7884937D1A}">
  <sheetPr codeName="Sheet33">
    <pageSetUpPr fitToPage="1"/>
  </sheetPr>
  <dimension ref="A1:N57"/>
  <sheetViews>
    <sheetView topLeftCell="A3" zoomScale="70" zoomScaleNormal="70" zoomScalePageLayoutView="70" workbookViewId="0">
      <selection activeCell="L12" sqref="L12"/>
    </sheetView>
  </sheetViews>
  <sheetFormatPr defaultRowHeight="15"/>
  <cols>
    <col min="1" max="1" width="55.7109375" customWidth="1"/>
    <col min="2" max="2" width="22.85546875" customWidth="1"/>
    <col min="3" max="3" width="25.85546875" customWidth="1"/>
    <col min="4" max="4" width="27.42578125" customWidth="1"/>
    <col min="5" max="5" width="22.7109375" customWidth="1"/>
    <col min="6" max="6" width="25.28515625" customWidth="1"/>
    <col min="7" max="7" width="26.140625" customWidth="1"/>
    <col min="8" max="8" width="30.5703125" customWidth="1"/>
    <col min="9" max="9" width="29" customWidth="1"/>
    <col min="10" max="10" width="27.42578125" customWidth="1"/>
    <col min="11" max="11" width="29.42578125" customWidth="1"/>
    <col min="12" max="12" width="30.140625" bestFit="1" customWidth="1"/>
    <col min="13" max="13" width="10.5703125" customWidth="1"/>
    <col min="14" max="14" width="17.1406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22" t="s">
        <v>2</v>
      </c>
    </row>
    <row r="4" spans="1:11">
      <c r="D4" s="4"/>
      <c r="E4" s="4"/>
      <c r="J4" t="s">
        <v>6</v>
      </c>
    </row>
    <row r="6" spans="1:11">
      <c r="A6" s="25" t="s">
        <v>21</v>
      </c>
      <c r="B6" s="26"/>
      <c r="C6" s="26"/>
      <c r="D6" s="26"/>
      <c r="F6" s="27"/>
      <c r="G6" s="28"/>
      <c r="H6" s="28"/>
      <c r="I6" s="29"/>
      <c r="J6" s="29"/>
      <c r="K6" s="29"/>
    </row>
    <row r="7" spans="1:11">
      <c r="A7" s="28"/>
      <c r="B7" s="28"/>
      <c r="C7" s="28"/>
      <c r="D7" s="28"/>
      <c r="E7" s="28"/>
      <c r="F7" s="28" t="s">
        <v>6</v>
      </c>
      <c r="G7" s="28"/>
      <c r="H7" s="28"/>
      <c r="I7" s="28"/>
      <c r="J7" s="28"/>
      <c r="K7" s="28"/>
    </row>
    <row r="8" spans="1:11" ht="15.75" thickBot="1">
      <c r="A8" s="28"/>
      <c r="B8" s="28"/>
      <c r="C8" s="28"/>
      <c r="D8" s="28"/>
      <c r="E8" s="28"/>
      <c r="F8" s="133" t="s">
        <v>6</v>
      </c>
      <c r="G8" s="28"/>
      <c r="H8" s="28"/>
      <c r="I8" s="28"/>
      <c r="J8" s="28"/>
      <c r="K8" s="28"/>
    </row>
    <row r="9" spans="1:11" ht="20.25">
      <c r="A9" s="30" t="s">
        <v>135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thickBot="1">
      <c r="A10" s="31" t="s">
        <v>6</v>
      </c>
      <c r="B10" s="32" t="s">
        <v>6</v>
      </c>
      <c r="C10" s="32" t="s">
        <v>6</v>
      </c>
      <c r="D10" s="32"/>
      <c r="E10" s="32"/>
      <c r="F10" s="32" t="s">
        <v>6</v>
      </c>
      <c r="G10" s="32" t="s">
        <v>6</v>
      </c>
      <c r="H10" s="33"/>
      <c r="I10" s="33"/>
      <c r="J10" s="33"/>
    </row>
    <row r="11" spans="1:11" ht="15.75">
      <c r="A11" s="36"/>
      <c r="B11" s="36"/>
      <c r="F11" s="36" t="s">
        <v>6</v>
      </c>
      <c r="G11" s="36"/>
      <c r="H11" s="35" t="s">
        <v>23</v>
      </c>
      <c r="I11" s="35" t="s">
        <v>6</v>
      </c>
      <c r="J11" s="35" t="s">
        <v>6</v>
      </c>
    </row>
    <row r="12" spans="1:11" ht="15.75">
      <c r="A12" s="36"/>
      <c r="B12" s="36"/>
      <c r="C12" s="36"/>
      <c r="D12" s="378" t="s">
        <v>136</v>
      </c>
      <c r="E12" s="379"/>
      <c r="F12" s="36" t="s">
        <v>29</v>
      </c>
      <c r="G12" s="36"/>
      <c r="H12" s="36" t="s">
        <v>25</v>
      </c>
      <c r="I12" s="35" t="s">
        <v>23</v>
      </c>
      <c r="J12" s="35" t="s">
        <v>23</v>
      </c>
    </row>
    <row r="13" spans="1:11" ht="15.75">
      <c r="A13" s="36" t="s">
        <v>6</v>
      </c>
      <c r="B13" s="36" t="s">
        <v>26</v>
      </c>
      <c r="C13" s="36" t="s">
        <v>27</v>
      </c>
      <c r="D13" s="378" t="s">
        <v>28</v>
      </c>
      <c r="E13" s="379"/>
      <c r="F13" s="35" t="s">
        <v>24</v>
      </c>
      <c r="G13" s="35" t="s">
        <v>23</v>
      </c>
      <c r="H13" s="36" t="s">
        <v>30</v>
      </c>
      <c r="I13" s="36" t="s">
        <v>31</v>
      </c>
      <c r="J13" s="38" t="s">
        <v>32</v>
      </c>
    </row>
    <row r="14" spans="1:11" ht="16.5" thickBot="1">
      <c r="A14" s="39" t="s">
        <v>33</v>
      </c>
      <c r="B14" s="39" t="s">
        <v>34</v>
      </c>
      <c r="C14" s="39" t="s">
        <v>35</v>
      </c>
      <c r="D14" s="134" t="s">
        <v>36</v>
      </c>
      <c r="E14" s="37" t="s">
        <v>37</v>
      </c>
      <c r="F14" s="39" t="s">
        <v>28</v>
      </c>
      <c r="G14" s="39" t="s">
        <v>28</v>
      </c>
      <c r="H14" s="40" t="s">
        <v>149</v>
      </c>
      <c r="I14" s="39" t="s">
        <v>39</v>
      </c>
      <c r="J14" s="39" t="s">
        <v>39</v>
      </c>
    </row>
    <row r="15" spans="1:11" ht="15.75">
      <c r="A15" s="41" t="s">
        <v>40</v>
      </c>
      <c r="B15" s="41" t="s">
        <v>40</v>
      </c>
      <c r="C15" s="41" t="s">
        <v>40</v>
      </c>
      <c r="D15" s="135" t="s">
        <v>42</v>
      </c>
      <c r="E15" s="135" t="s">
        <v>42</v>
      </c>
      <c r="F15" s="135" t="s">
        <v>42</v>
      </c>
      <c r="G15" s="41" t="s">
        <v>40</v>
      </c>
      <c r="H15" s="41" t="s">
        <v>42</v>
      </c>
      <c r="I15" s="41" t="s">
        <v>42</v>
      </c>
      <c r="J15" s="41" t="s">
        <v>42</v>
      </c>
    </row>
    <row r="16" spans="1:11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1" ht="15.75">
      <c r="A17" s="24" t="s">
        <v>150</v>
      </c>
      <c r="B17" s="2" t="s">
        <v>151</v>
      </c>
      <c r="C17" s="2" t="s">
        <v>139</v>
      </c>
      <c r="D17" s="13">
        <v>215.42</v>
      </c>
      <c r="E17" s="13">
        <v>211.74</v>
      </c>
      <c r="F17" s="43">
        <f t="shared" ref="F17" si="0">AVERAGE(D17:E17)</f>
        <v>213.57999999999998</v>
      </c>
      <c r="G17" s="43">
        <v>214.34</v>
      </c>
      <c r="H17" s="45">
        <f>(138+732-0.3)*1000000</f>
        <v>869700000</v>
      </c>
      <c r="I17" s="45">
        <v>0</v>
      </c>
      <c r="J17" s="45">
        <f>19784000000+2131000000</f>
        <v>21915000000</v>
      </c>
    </row>
    <row r="18" spans="1:11" ht="16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1" ht="15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1" ht="15.75">
      <c r="A20" s="47"/>
      <c r="B20" s="47"/>
      <c r="C20" s="47"/>
      <c r="D20" s="47" t="s">
        <v>6</v>
      </c>
      <c r="E20" s="47"/>
      <c r="F20" s="47"/>
      <c r="G20" s="47"/>
      <c r="J20" s="136" t="s">
        <v>6</v>
      </c>
      <c r="K20" s="47"/>
    </row>
    <row r="21" spans="1:11" ht="15.75">
      <c r="A21" s="47"/>
      <c r="B21" s="47"/>
      <c r="C21" s="47"/>
      <c r="D21" s="47"/>
      <c r="E21" s="47"/>
      <c r="F21" s="47"/>
      <c r="G21" s="47"/>
      <c r="J21" s="47" t="s">
        <v>6</v>
      </c>
      <c r="K21" s="47" t="s">
        <v>6</v>
      </c>
    </row>
    <row r="22" spans="1:11" ht="15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5.75">
      <c r="A23" s="47"/>
      <c r="B23" s="47"/>
      <c r="C23" s="47"/>
      <c r="D23" s="47"/>
      <c r="E23" s="47"/>
      <c r="F23" s="47"/>
      <c r="G23" s="47"/>
      <c r="H23" s="47" t="s">
        <v>6</v>
      </c>
      <c r="I23" s="47"/>
      <c r="J23" s="47"/>
      <c r="K23" s="47" t="s">
        <v>6</v>
      </c>
    </row>
    <row r="24" spans="1:11" ht="15.75">
      <c r="A24" s="47"/>
      <c r="B24" s="47"/>
      <c r="C24" s="47"/>
      <c r="D24" s="47"/>
      <c r="E24" s="35" t="s">
        <v>6</v>
      </c>
      <c r="F24" s="47"/>
      <c r="G24" s="47"/>
      <c r="H24" s="47"/>
      <c r="I24" s="47"/>
      <c r="J24" s="47"/>
      <c r="K24" s="47"/>
    </row>
    <row r="25" spans="1:11" ht="15.75">
      <c r="A25" s="36"/>
      <c r="B25" s="36"/>
      <c r="C25" s="36"/>
      <c r="D25" s="35" t="s">
        <v>23</v>
      </c>
      <c r="E25" s="35" t="s">
        <v>23</v>
      </c>
      <c r="F25" s="35" t="s">
        <v>23</v>
      </c>
      <c r="G25" s="35" t="s">
        <v>23</v>
      </c>
      <c r="H25" s="35" t="s">
        <v>23</v>
      </c>
      <c r="I25" s="35" t="s">
        <v>23</v>
      </c>
      <c r="J25" s="35" t="s">
        <v>23</v>
      </c>
      <c r="K25" s="47"/>
    </row>
    <row r="26" spans="1:11" ht="15.75">
      <c r="A26" s="36" t="s">
        <v>6</v>
      </c>
      <c r="B26" s="36" t="s">
        <v>26</v>
      </c>
      <c r="C26" s="36" t="s">
        <v>27</v>
      </c>
      <c r="D26" s="36" t="s">
        <v>25</v>
      </c>
      <c r="E26" s="36" t="s">
        <v>31</v>
      </c>
      <c r="F26" s="36" t="s">
        <v>46</v>
      </c>
      <c r="G26" s="38" t="s">
        <v>47</v>
      </c>
      <c r="H26" s="38" t="s">
        <v>48</v>
      </c>
      <c r="I26" s="38" t="s">
        <v>49</v>
      </c>
      <c r="J26" s="38" t="s">
        <v>140</v>
      </c>
      <c r="K26" s="47"/>
    </row>
    <row r="27" spans="1:11" ht="16.5" thickBot="1">
      <c r="A27" s="39" t="s">
        <v>33</v>
      </c>
      <c r="B27" s="39" t="s">
        <v>34</v>
      </c>
      <c r="C27" s="39" t="s">
        <v>35</v>
      </c>
      <c r="D27" s="39" t="s">
        <v>51</v>
      </c>
      <c r="E27" s="39" t="s">
        <v>51</v>
      </c>
      <c r="F27" s="39" t="s">
        <v>51</v>
      </c>
      <c r="G27" s="39" t="s">
        <v>51</v>
      </c>
      <c r="H27" s="39" t="s">
        <v>52</v>
      </c>
      <c r="I27" s="39" t="s">
        <v>6</v>
      </c>
      <c r="J27" s="39" t="s">
        <v>6</v>
      </c>
      <c r="K27" s="47"/>
    </row>
    <row r="28" spans="1:11" ht="15.75">
      <c r="A28" s="41" t="s">
        <v>40</v>
      </c>
      <c r="B28" s="41" t="s">
        <v>40</v>
      </c>
      <c r="C28" s="41" t="s">
        <v>40</v>
      </c>
      <c r="D28" s="41" t="s">
        <v>53</v>
      </c>
      <c r="E28" s="41" t="s">
        <v>42</v>
      </c>
      <c r="F28" s="41" t="s">
        <v>42</v>
      </c>
      <c r="G28" s="41" t="s">
        <v>42</v>
      </c>
      <c r="H28" s="41" t="s">
        <v>53</v>
      </c>
      <c r="I28" s="41" t="s">
        <v>53</v>
      </c>
      <c r="J28" s="41" t="s">
        <v>53</v>
      </c>
      <c r="K28" s="47"/>
    </row>
    <row r="29" spans="1:11" ht="15.75">
      <c r="A29" s="36"/>
      <c r="B29" s="36"/>
      <c r="C29" s="36"/>
      <c r="D29" s="47"/>
      <c r="E29" s="47"/>
      <c r="F29" t="s">
        <v>6</v>
      </c>
      <c r="G29" t="s">
        <v>6</v>
      </c>
      <c r="H29" s="42"/>
      <c r="I29" s="42"/>
      <c r="J29" s="42"/>
      <c r="K29" s="47"/>
    </row>
    <row r="30" spans="1:11" ht="15.75">
      <c r="A30" s="24" t="str">
        <f>+A17</f>
        <v xml:space="preserve">United Parcel Service </v>
      </c>
      <c r="B30" s="2" t="str">
        <f>+B17</f>
        <v>UPS</v>
      </c>
      <c r="C30" s="2" t="str">
        <f>+C17</f>
        <v>Air Trans</v>
      </c>
      <c r="D30" s="137">
        <f>(+H17)*G17</f>
        <v>186411498000</v>
      </c>
      <c r="E30" s="96">
        <f>+K17</f>
        <v>0</v>
      </c>
      <c r="F30" s="96">
        <f>+E47</f>
        <v>3613000000</v>
      </c>
      <c r="G30" s="45">
        <f>+J17*(25100/21915)</f>
        <v>25100000000</v>
      </c>
      <c r="H30" s="45">
        <f t="shared" ref="H30" si="1">+D30+E30+F30+G30</f>
        <v>215124498000</v>
      </c>
      <c r="I30" s="15">
        <f>+D30/H30</f>
        <v>0.86652845088800623</v>
      </c>
      <c r="J30" s="11">
        <f t="shared" ref="J30" si="2">(+E30+F30+G30)/H30</f>
        <v>0.13347154911199374</v>
      </c>
      <c r="K30" s="138" t="s">
        <v>6</v>
      </c>
    </row>
    <row r="31" spans="1:11" ht="15.75">
      <c r="A31" s="24"/>
      <c r="B31" s="2"/>
      <c r="C31" s="2"/>
      <c r="D31" s="137"/>
      <c r="E31" s="137"/>
      <c r="F31" t="s">
        <v>6</v>
      </c>
      <c r="G31" s="139"/>
      <c r="H31" s="139"/>
      <c r="I31" s="140"/>
      <c r="J31" s="140"/>
      <c r="K31" s="47"/>
    </row>
    <row r="32" spans="1:11" ht="16.5" thickBot="1">
      <c r="A32" s="46"/>
      <c r="B32" s="46"/>
      <c r="C32" s="46"/>
      <c r="D32" s="46"/>
      <c r="E32" s="46"/>
      <c r="F32" s="5"/>
      <c r="G32" s="46"/>
      <c r="H32" s="46"/>
      <c r="I32" s="46"/>
      <c r="J32" s="46"/>
      <c r="K32" s="47"/>
    </row>
    <row r="35" spans="1:14" ht="15.75">
      <c r="A35" s="22" t="s">
        <v>57</v>
      </c>
      <c r="H35" s="54"/>
      <c r="I35" s="141"/>
      <c r="J35" s="141"/>
    </row>
    <row r="36" spans="1:14" ht="15.75">
      <c r="A36" s="22" t="s">
        <v>59</v>
      </c>
      <c r="H36" s="54" t="s">
        <v>58</v>
      </c>
      <c r="I36" s="15">
        <f>MEDIAN(I30:I30)</f>
        <v>0.86652845088800623</v>
      </c>
      <c r="J36" s="15">
        <f>MEDIAN(J30:J30)</f>
        <v>0.13347154911199374</v>
      </c>
    </row>
    <row r="37" spans="1:14" ht="15.75">
      <c r="A37" s="22" t="s">
        <v>60</v>
      </c>
      <c r="G37" s="22" t="s">
        <v>6</v>
      </c>
      <c r="H37" s="54" t="s">
        <v>29</v>
      </c>
      <c r="I37" s="15">
        <f>AVERAGE(I30:I30)</f>
        <v>0.86652845088800623</v>
      </c>
      <c r="J37" s="15">
        <f>AVERAGE(J30:J30)</f>
        <v>0.13347154911199374</v>
      </c>
    </row>
    <row r="38" spans="1:14" ht="15.75">
      <c r="A38" s="22" t="s">
        <v>142</v>
      </c>
      <c r="H38" s="24"/>
      <c r="I38" s="24"/>
      <c r="J38" s="24"/>
    </row>
    <row r="39" spans="1:14" ht="21">
      <c r="A39" s="22"/>
      <c r="H39" s="58" t="s">
        <v>20</v>
      </c>
      <c r="I39" s="59">
        <v>0.87</v>
      </c>
      <c r="J39" s="59">
        <v>0.13</v>
      </c>
      <c r="K39" s="142" t="s">
        <v>6</v>
      </c>
    </row>
    <row r="40" spans="1:14" ht="16.5" thickBot="1">
      <c r="A40" s="5"/>
      <c r="B40" s="5"/>
      <c r="C40" s="5"/>
      <c r="D40" s="5"/>
      <c r="E40" s="5"/>
      <c r="F40" s="5"/>
      <c r="G40" s="5"/>
      <c r="H40" s="5" t="s">
        <v>6</v>
      </c>
      <c r="I40" s="143"/>
      <c r="J40" s="143"/>
      <c r="K40" s="5"/>
      <c r="L40" s="5"/>
      <c r="M40" s="5"/>
      <c r="N40" s="5"/>
    </row>
    <row r="41" spans="1:14" ht="15.75">
      <c r="H41" s="144" t="s">
        <v>6</v>
      </c>
      <c r="I41" s="145" t="s">
        <v>6</v>
      </c>
      <c r="J41" s="145" t="s">
        <v>6</v>
      </c>
      <c r="L41" t="s">
        <v>6</v>
      </c>
    </row>
    <row r="46" spans="1:14">
      <c r="B46" s="60" t="s">
        <v>95</v>
      </c>
      <c r="C46" s="146" t="s">
        <v>33</v>
      </c>
      <c r="D46" s="62" t="s">
        <v>62</v>
      </c>
      <c r="E46" s="62" t="s">
        <v>63</v>
      </c>
    </row>
    <row r="47" spans="1:14" ht="15.75">
      <c r="B47" s="63">
        <v>1247000000</v>
      </c>
      <c r="C47" s="64" t="str">
        <f>+A30</f>
        <v xml:space="preserve">United Parcel Service </v>
      </c>
      <c r="D47" s="65">
        <v>3562000000</v>
      </c>
      <c r="E47" s="65">
        <v>3613000000</v>
      </c>
    </row>
    <row r="49" spans="3:4">
      <c r="D49" t="s">
        <v>6</v>
      </c>
    </row>
    <row r="55" spans="3:4">
      <c r="C55" s="85" t="s">
        <v>6</v>
      </c>
    </row>
    <row r="56" spans="3:4" ht="15.75">
      <c r="C56" s="147" t="s">
        <v>6</v>
      </c>
    </row>
    <row r="57" spans="3:4">
      <c r="D57" s="148" t="s">
        <v>6</v>
      </c>
    </row>
  </sheetData>
  <mergeCells count="2">
    <mergeCell ref="D12:E12"/>
    <mergeCell ref="D13:E13"/>
  </mergeCells>
  <pageMargins left="0.25" right="0.25" top="0.75" bottom="0.75" header="0.3" footer="0.3"/>
  <pageSetup scale="33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BC58-D196-45CE-B4A1-2736E7060509}">
  <sheetPr codeName="Sheet34">
    <pageSetUpPr fitToPage="1"/>
  </sheetPr>
  <dimension ref="A1:M17"/>
  <sheetViews>
    <sheetView zoomScaleNormal="100" workbookViewId="0">
      <selection activeCell="I17" sqref="I17"/>
    </sheetView>
  </sheetViews>
  <sheetFormatPr defaultRowHeight="15"/>
  <cols>
    <col min="1" max="1" width="45.140625" customWidth="1"/>
    <col min="2" max="2" width="10.85546875" bestFit="1" customWidth="1"/>
    <col min="3" max="3" width="12.5703125" bestFit="1" customWidth="1"/>
    <col min="4" max="4" width="12.5703125" customWidth="1"/>
    <col min="5" max="5" width="12.28515625" customWidth="1"/>
    <col min="6" max="6" width="10.85546875" customWidth="1"/>
    <col min="7" max="7" width="12.85546875" customWidth="1"/>
    <col min="8" max="8" width="21.85546875" customWidth="1"/>
    <col min="9" max="9" width="15.140625" customWidth="1"/>
    <col min="10" max="10" width="15.5703125" customWidth="1"/>
    <col min="11" max="11" width="13.140625" customWidth="1"/>
  </cols>
  <sheetData>
    <row r="1" spans="1:13" ht="21">
      <c r="A1" s="23" t="s">
        <v>0</v>
      </c>
    </row>
    <row r="2" spans="1:13" ht="15.75">
      <c r="A2" s="24" t="s">
        <v>1</v>
      </c>
    </row>
    <row r="3" spans="1:13">
      <c r="A3" s="22" t="s">
        <v>2</v>
      </c>
    </row>
    <row r="4" spans="1:13">
      <c r="F4" s="4" t="s">
        <v>6</v>
      </c>
    </row>
    <row r="5" spans="1:13" ht="15.75">
      <c r="A5" s="66" t="s">
        <v>135</v>
      </c>
    </row>
    <row r="6" spans="1:13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3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143</v>
      </c>
      <c r="I7" s="3" t="s">
        <v>75</v>
      </c>
    </row>
    <row r="8" spans="1:13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3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3">
      <c r="A10" s="3"/>
      <c r="B10" s="3"/>
      <c r="C10" s="3"/>
      <c r="D10" s="3"/>
      <c r="E10" s="3"/>
      <c r="F10" s="3"/>
      <c r="G10" s="3"/>
      <c r="H10" s="3"/>
      <c r="I10" s="3"/>
    </row>
    <row r="11" spans="1:13">
      <c r="A11" s="22" t="s">
        <v>150</v>
      </c>
      <c r="B11" s="3" t="s">
        <v>151</v>
      </c>
      <c r="C11" s="3" t="s">
        <v>76</v>
      </c>
      <c r="D11" s="68">
        <v>0.8</v>
      </c>
      <c r="E11" s="71">
        <v>0.223</v>
      </c>
      <c r="F11" s="3" t="s">
        <v>152</v>
      </c>
      <c r="G11" s="68" t="s">
        <v>152</v>
      </c>
      <c r="H11" s="68" t="s">
        <v>153</v>
      </c>
      <c r="I11" s="69">
        <v>3.0200000000000001E-2</v>
      </c>
      <c r="J11" t="s">
        <v>6</v>
      </c>
      <c r="M11" t="s">
        <v>6</v>
      </c>
    </row>
    <row r="12" spans="1:13" ht="15.75" thickBot="1">
      <c r="C12" s="76"/>
      <c r="D12" s="73"/>
      <c r="E12" s="73"/>
      <c r="F12" s="76"/>
      <c r="G12" s="73"/>
      <c r="H12" s="73"/>
      <c r="I12" s="73"/>
    </row>
    <row r="13" spans="1:13" ht="15.75" thickTop="1">
      <c r="C13" s="149"/>
      <c r="D13" s="156"/>
      <c r="E13" s="157"/>
      <c r="I13" s="158"/>
    </row>
    <row r="14" spans="1:13">
      <c r="C14" s="77" t="s">
        <v>58</v>
      </c>
      <c r="D14" s="78">
        <f>MEDIAN(D11:D11)</f>
        <v>0.8</v>
      </c>
      <c r="E14" s="79">
        <f>MEDIAN(E11:E11)</f>
        <v>0.223</v>
      </c>
      <c r="I14" s="109">
        <f>MEDIAN(I11:I11)</f>
        <v>3.0200000000000001E-2</v>
      </c>
    </row>
    <row r="15" spans="1:13">
      <c r="C15" s="77" t="s">
        <v>29</v>
      </c>
      <c r="D15" s="80">
        <f>AVERAGE(D11:D11)</f>
        <v>0.8</v>
      </c>
      <c r="E15" s="81">
        <f>AVERAGE(E11:E11)</f>
        <v>0.223</v>
      </c>
      <c r="I15" s="12">
        <f>AVERAGE(I11:I11)</f>
        <v>3.0200000000000001E-2</v>
      </c>
    </row>
    <row r="16" spans="1:13">
      <c r="J16" s="151"/>
    </row>
    <row r="17" spans="8:10" ht="21">
      <c r="H17" s="58" t="s">
        <v>82</v>
      </c>
      <c r="I17" s="105">
        <v>3.0200000000000001E-2</v>
      </c>
      <c r="J17" s="152" t="s">
        <v>6</v>
      </c>
    </row>
  </sheetData>
  <pageMargins left="0.25" right="0.25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6A4D-2C29-4A9B-81A2-A78AC354A266}">
  <sheetPr codeName="Sheet35">
    <pageSetUpPr fitToPage="1"/>
  </sheetPr>
  <dimension ref="A1:F23"/>
  <sheetViews>
    <sheetView zoomScale="90" zoomScaleNormal="90" workbookViewId="0">
      <selection activeCell="L12" sqref="L12"/>
    </sheetView>
  </sheetViews>
  <sheetFormatPr defaultRowHeight="15"/>
  <cols>
    <col min="1" max="1" width="43.7109375" customWidth="1"/>
    <col min="2" max="2" width="14.42578125" bestFit="1" customWidth="1"/>
    <col min="3" max="3" width="18.85546875" customWidth="1"/>
    <col min="4" max="4" width="20.42578125" customWidth="1"/>
    <col min="5" max="5" width="14.7109375" bestFit="1" customWidth="1"/>
    <col min="6" max="6" width="21.7109375" customWidth="1"/>
    <col min="7" max="7" width="9.1406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 t="s">
        <v>6</v>
      </c>
    </row>
    <row r="5" spans="1:6" ht="15.75">
      <c r="A5" s="66" t="s">
        <v>135</v>
      </c>
    </row>
    <row r="6" spans="1:6" ht="15.75">
      <c r="A6" s="66"/>
    </row>
    <row r="7" spans="1:6" ht="18.75">
      <c r="A7" s="66"/>
      <c r="D7" s="84" t="s">
        <v>83</v>
      </c>
    </row>
    <row r="8" spans="1:6" ht="18.75">
      <c r="A8" s="66"/>
      <c r="D8" s="84" t="s">
        <v>84</v>
      </c>
    </row>
    <row r="9" spans="1:6" ht="15.75">
      <c r="A9" s="66"/>
      <c r="D9" s="153" t="s">
        <v>6</v>
      </c>
    </row>
    <row r="10" spans="1:6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6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6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6">
      <c r="A13" s="8" t="s">
        <v>6</v>
      </c>
      <c r="B13" s="8" t="s">
        <v>6</v>
      </c>
      <c r="C13" s="8" t="s">
        <v>40</v>
      </c>
      <c r="D13" s="154" t="s">
        <v>147</v>
      </c>
      <c r="E13" s="8" t="s">
        <v>6</v>
      </c>
      <c r="F13" s="8" t="s">
        <v>6</v>
      </c>
    </row>
    <row r="14" spans="1:6">
      <c r="A14" s="3"/>
      <c r="B14" s="3"/>
      <c r="C14" s="3"/>
      <c r="D14" s="3"/>
      <c r="E14" s="3"/>
      <c r="F14" s="3"/>
    </row>
    <row r="15" spans="1:6">
      <c r="A15" s="22" t="s">
        <v>6</v>
      </c>
      <c r="B15" s="3" t="s">
        <v>6</v>
      </c>
      <c r="C15" s="68" t="s">
        <v>6</v>
      </c>
      <c r="D15" s="68" t="s">
        <v>6</v>
      </c>
      <c r="E15" s="86" t="s">
        <v>6</v>
      </c>
      <c r="F15" s="91" t="s">
        <v>6</v>
      </c>
    </row>
    <row r="16" spans="1:6">
      <c r="A16" s="22" t="s">
        <v>150</v>
      </c>
      <c r="B16" s="3" t="s">
        <v>151</v>
      </c>
      <c r="C16" s="68">
        <v>214.34</v>
      </c>
      <c r="D16" s="68">
        <v>15.55</v>
      </c>
      <c r="E16" s="68">
        <f t="shared" ref="E16" si="0">C16/D16</f>
        <v>13.783922829581993</v>
      </c>
      <c r="F16" s="71">
        <f t="shared" ref="F16" si="1">1/E16</f>
        <v>7.2548287767098998E-2</v>
      </c>
    </row>
    <row r="17" spans="1:6" ht="15.75" thickBot="1">
      <c r="A17" s="76"/>
      <c r="B17" s="74"/>
      <c r="C17" s="74"/>
      <c r="D17" s="89"/>
      <c r="E17" s="89"/>
      <c r="F17" s="75"/>
    </row>
    <row r="18" spans="1:6" ht="15.75" thickTop="1">
      <c r="B18" s="3"/>
      <c r="C18" s="155"/>
      <c r="D18" s="155"/>
      <c r="E18" s="155"/>
      <c r="F18" s="79"/>
    </row>
    <row r="19" spans="1:6">
      <c r="B19" s="3" t="s">
        <v>58</v>
      </c>
      <c r="C19" s="155">
        <f>MEDIAN(C16:C16)</f>
        <v>214.34</v>
      </c>
      <c r="D19" s="155">
        <f>MEDIAN(D16:D16)</f>
        <v>15.55</v>
      </c>
      <c r="E19" s="155">
        <f>MEDIAN(E16:E16)</f>
        <v>13.783922829581993</v>
      </c>
      <c r="F19" s="79">
        <f>MEDIAN(F16:F16)</f>
        <v>7.2548287767098998E-2</v>
      </c>
    </row>
    <row r="20" spans="1:6">
      <c r="B20" s="3" t="s">
        <v>29</v>
      </c>
      <c r="C20" s="155">
        <f>AVERAGE(C16:C16)</f>
        <v>214.34</v>
      </c>
      <c r="D20" s="155">
        <f>AVERAGE(D16:D16)</f>
        <v>15.55</v>
      </c>
      <c r="E20" s="155">
        <f>AVERAGE(E16:E16)</f>
        <v>13.783922829581993</v>
      </c>
      <c r="F20" s="79">
        <f>AVERAGE(F16:F16)</f>
        <v>7.2548287767098998E-2</v>
      </c>
    </row>
    <row r="21" spans="1:6">
      <c r="B21" s="3"/>
      <c r="C21" s="86"/>
      <c r="D21" s="86"/>
      <c r="E21" s="86"/>
      <c r="F21" s="81"/>
    </row>
    <row r="22" spans="1:6" ht="21">
      <c r="B22" s="3"/>
      <c r="C22" s="86"/>
      <c r="D22" s="86"/>
      <c r="E22" s="92" t="s">
        <v>20</v>
      </c>
      <c r="F22" s="83">
        <v>7.2499999999999995E-2</v>
      </c>
    </row>
    <row r="23" spans="1:6">
      <c r="B23" s="3"/>
      <c r="C23" s="93"/>
      <c r="D23" s="93"/>
      <c r="E23" s="93"/>
      <c r="F23" s="94"/>
    </row>
  </sheetData>
  <pageMargins left="0.25" right="0.25" top="0.75" bottom="0.75" header="0.3" footer="0.3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8438C-1CBB-4560-BAA8-7D89BC6988EF}">
  <sheetPr codeName="Sheet37">
    <pageSetUpPr fitToPage="1"/>
  </sheetPr>
  <dimension ref="A1:G24"/>
  <sheetViews>
    <sheetView topLeftCell="A8" zoomScaleNormal="100" workbookViewId="0">
      <selection activeCell="F24" sqref="F24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154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9">
        <f>+'[4]S&amp;D'!I45</f>
        <v>0.6</v>
      </c>
      <c r="C18" s="10">
        <f>+'[4]CF Multiples'!F25</f>
        <v>0.1608</v>
      </c>
      <c r="D18" s="2" t="s">
        <v>6</v>
      </c>
      <c r="E18" s="10">
        <f>+C18</f>
        <v>0.1608</v>
      </c>
      <c r="F18" s="11">
        <f>+E18*B18</f>
        <v>9.6479999999999996E-2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1" t="s">
        <v>6</v>
      </c>
      <c r="G19" s="12" t="s">
        <v>6</v>
      </c>
    </row>
    <row r="20" spans="1:7" ht="15.75">
      <c r="A20" s="2" t="s">
        <v>18</v>
      </c>
      <c r="B20" s="9">
        <f>+'[4]S&amp;D'!J45</f>
        <v>0.4</v>
      </c>
      <c r="C20" s="9">
        <f>+[4]Debt!I20</f>
        <v>3.3500000000000002E-2</v>
      </c>
      <c r="D20" s="9">
        <v>0.26</v>
      </c>
      <c r="E20" s="10">
        <f>+C20*(1-D20)</f>
        <v>2.479E-2</v>
      </c>
      <c r="F20" s="11">
        <f>+B20*E20</f>
        <v>9.9160000000000012E-3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53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0.10639599999999999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0.10639999999999999</v>
      </c>
    </row>
  </sheetData>
  <pageMargins left="0.25" right="0.25" top="0.75" bottom="0.75" header="0.3" footer="0.3"/>
  <pageSetup scale="8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A322-822C-4CBF-A004-02742AADC792}">
  <sheetPr codeName="Sheet38">
    <pageSetUpPr fitToPage="1"/>
  </sheetPr>
  <dimension ref="A1:N67"/>
  <sheetViews>
    <sheetView zoomScale="70" zoomScaleNormal="70" zoomScalePageLayoutView="70" workbookViewId="0">
      <pane xSplit="1" topLeftCell="B1" activePane="topRight" state="frozen"/>
      <selection activeCell="L12" sqref="L12"/>
      <selection pane="topRight" activeCell="H19" sqref="H19"/>
    </sheetView>
  </sheetViews>
  <sheetFormatPr defaultRowHeight="15"/>
  <cols>
    <col min="1" max="1" width="55.7109375" customWidth="1"/>
    <col min="2" max="2" width="22.85546875" customWidth="1"/>
    <col min="3" max="3" width="25.85546875" customWidth="1"/>
    <col min="4" max="4" width="27.42578125" customWidth="1"/>
    <col min="5" max="5" width="22.7109375" customWidth="1"/>
    <col min="6" max="6" width="25.28515625" customWidth="1"/>
    <col min="7" max="7" width="26.140625" customWidth="1"/>
    <col min="8" max="8" width="30.5703125" customWidth="1"/>
    <col min="9" max="9" width="29" customWidth="1"/>
    <col min="10" max="10" width="27.42578125" customWidth="1"/>
    <col min="11" max="11" width="29.42578125" customWidth="1"/>
    <col min="12" max="12" width="30.140625" bestFit="1" customWidth="1"/>
    <col min="13" max="13" width="10.5703125" customWidth="1"/>
    <col min="14" max="14" width="17.1406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22" t="s">
        <v>2</v>
      </c>
    </row>
    <row r="4" spans="1:11">
      <c r="D4" s="4"/>
      <c r="E4" s="4"/>
      <c r="J4" t="s">
        <v>6</v>
      </c>
    </row>
    <row r="6" spans="1:11">
      <c r="A6" s="25" t="s">
        <v>21</v>
      </c>
      <c r="B6" s="26"/>
      <c r="C6" s="26"/>
      <c r="D6" s="26"/>
      <c r="F6" s="27"/>
      <c r="G6" s="28"/>
      <c r="H6" s="28"/>
      <c r="I6" s="29"/>
      <c r="J6" s="29"/>
      <c r="K6" s="29"/>
    </row>
    <row r="7" spans="1:11">
      <c r="A7" s="28"/>
      <c r="B7" s="28"/>
      <c r="C7" s="28"/>
      <c r="D7" s="28"/>
      <c r="E7" s="28"/>
      <c r="F7" s="28" t="s">
        <v>6</v>
      </c>
      <c r="G7" s="28"/>
      <c r="H7" s="28"/>
      <c r="I7" s="28"/>
      <c r="J7" s="28"/>
      <c r="K7" s="28"/>
    </row>
    <row r="8" spans="1:11" ht="15.75" thickBot="1">
      <c r="A8" s="28"/>
      <c r="B8" s="28"/>
      <c r="C8" s="28"/>
      <c r="D8" s="28"/>
      <c r="E8" s="28"/>
      <c r="F8" s="133" t="s">
        <v>6</v>
      </c>
      <c r="G8" s="28"/>
      <c r="H8" s="28"/>
      <c r="I8" s="28"/>
      <c r="J8" s="28"/>
      <c r="K8" s="28"/>
    </row>
    <row r="9" spans="1:11" ht="20.25">
      <c r="A9" s="30" t="s">
        <v>135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thickBot="1">
      <c r="A10" s="31" t="s">
        <v>6</v>
      </c>
      <c r="B10" s="32" t="s">
        <v>6</v>
      </c>
      <c r="C10" s="32" t="s">
        <v>6</v>
      </c>
      <c r="D10" s="32"/>
      <c r="E10" s="32"/>
      <c r="F10" s="32" t="s">
        <v>6</v>
      </c>
      <c r="G10" s="32" t="s">
        <v>6</v>
      </c>
      <c r="H10" s="33"/>
      <c r="I10" s="33"/>
      <c r="J10" s="33"/>
    </row>
    <row r="11" spans="1:11" ht="15.75">
      <c r="A11" s="36"/>
      <c r="B11" s="36"/>
      <c r="F11" s="36" t="s">
        <v>6</v>
      </c>
      <c r="G11" s="36"/>
      <c r="H11" s="35" t="s">
        <v>23</v>
      </c>
      <c r="I11" s="35" t="s">
        <v>6</v>
      </c>
      <c r="J11" s="35" t="s">
        <v>6</v>
      </c>
    </row>
    <row r="12" spans="1:11" ht="15.75">
      <c r="A12" s="36"/>
      <c r="B12" s="36"/>
      <c r="C12" s="36"/>
      <c r="D12" s="378" t="s">
        <v>136</v>
      </c>
      <c r="E12" s="379"/>
      <c r="F12" s="36" t="s">
        <v>29</v>
      </c>
      <c r="G12" s="36"/>
      <c r="H12" s="36" t="s">
        <v>25</v>
      </c>
      <c r="I12" s="36" t="s">
        <v>23</v>
      </c>
      <c r="J12" s="35" t="s">
        <v>23</v>
      </c>
    </row>
    <row r="13" spans="1:11" ht="15.75">
      <c r="A13" s="36" t="s">
        <v>6</v>
      </c>
      <c r="B13" s="36" t="s">
        <v>26</v>
      </c>
      <c r="C13" s="36" t="s">
        <v>27</v>
      </c>
      <c r="D13" s="378" t="s">
        <v>28</v>
      </c>
      <c r="E13" s="379"/>
      <c r="F13" s="35" t="s">
        <v>24</v>
      </c>
      <c r="G13" s="35" t="s">
        <v>23</v>
      </c>
      <c r="H13" s="36" t="s">
        <v>30</v>
      </c>
      <c r="I13" s="36" t="s">
        <v>31</v>
      </c>
      <c r="J13" s="38" t="s">
        <v>32</v>
      </c>
    </row>
    <row r="14" spans="1:11" ht="16.5" thickBot="1">
      <c r="A14" s="39" t="s">
        <v>33</v>
      </c>
      <c r="B14" s="39" t="s">
        <v>34</v>
      </c>
      <c r="C14" s="39" t="s">
        <v>35</v>
      </c>
      <c r="D14" s="134" t="s">
        <v>36</v>
      </c>
      <c r="E14" s="37" t="s">
        <v>37</v>
      </c>
      <c r="F14" s="39" t="s">
        <v>28</v>
      </c>
      <c r="G14" s="39" t="s">
        <v>28</v>
      </c>
      <c r="H14" s="40" t="s">
        <v>38</v>
      </c>
      <c r="I14" s="40" t="s">
        <v>155</v>
      </c>
      <c r="J14" s="40" t="s">
        <v>155</v>
      </c>
    </row>
    <row r="15" spans="1:11" ht="15.75">
      <c r="A15" s="41" t="s">
        <v>40</v>
      </c>
      <c r="B15" s="41" t="s">
        <v>40</v>
      </c>
      <c r="C15" s="41" t="s">
        <v>40</v>
      </c>
      <c r="D15" s="135" t="s">
        <v>42</v>
      </c>
      <c r="E15" s="135" t="s">
        <v>42</v>
      </c>
      <c r="F15" s="135" t="s">
        <v>42</v>
      </c>
      <c r="G15" s="41" t="s">
        <v>40</v>
      </c>
      <c r="H15" s="41" t="s">
        <v>42</v>
      </c>
      <c r="I15" s="41" t="s">
        <v>42</v>
      </c>
      <c r="J15" s="41" t="s">
        <v>42</v>
      </c>
    </row>
    <row r="16" spans="1:11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1" ht="15.75">
      <c r="A17" s="24" t="s">
        <v>156</v>
      </c>
      <c r="B17" s="2" t="s">
        <v>157</v>
      </c>
      <c r="C17" s="2" t="s">
        <v>139</v>
      </c>
      <c r="D17" s="43">
        <v>29.57</v>
      </c>
      <c r="E17" s="13">
        <v>28.96</v>
      </c>
      <c r="F17" s="43">
        <f t="shared" ref="F17:F20" si="0">AVERAGE(D17:E17)</f>
        <v>29.265000000000001</v>
      </c>
      <c r="G17" s="43">
        <v>29.38</v>
      </c>
      <c r="H17" s="159">
        <v>74142183</v>
      </c>
      <c r="I17" s="45">
        <v>0</v>
      </c>
      <c r="J17" s="159">
        <f>628000+1298735000</f>
        <v>1299363000</v>
      </c>
    </row>
    <row r="18" spans="1:11" ht="15.75">
      <c r="A18" s="160" t="s">
        <v>158</v>
      </c>
      <c r="B18" s="13" t="s">
        <v>159</v>
      </c>
      <c r="C18" s="13" t="s">
        <v>139</v>
      </c>
      <c r="D18" s="13">
        <v>94.59</v>
      </c>
      <c r="E18" s="13">
        <v>91.99</v>
      </c>
      <c r="F18" s="43">
        <f t="shared" si="0"/>
        <v>93.289999999999992</v>
      </c>
      <c r="G18" s="43">
        <v>94.12</v>
      </c>
      <c r="H18" s="45">
        <v>29215702</v>
      </c>
      <c r="I18" s="45">
        <v>0</v>
      </c>
      <c r="J18" s="45">
        <f>(639811+1655075)*1000</f>
        <v>2294886000</v>
      </c>
    </row>
    <row r="19" spans="1:11" ht="15.75">
      <c r="A19" s="24" t="s">
        <v>137</v>
      </c>
      <c r="B19" s="2" t="s">
        <v>138</v>
      </c>
      <c r="C19" s="2" t="s">
        <v>139</v>
      </c>
      <c r="D19" s="13">
        <v>260.24</v>
      </c>
      <c r="E19" s="13">
        <v>256.93</v>
      </c>
      <c r="F19" s="43">
        <f t="shared" si="0"/>
        <v>258.58500000000004</v>
      </c>
      <c r="G19" s="43">
        <v>258.64</v>
      </c>
      <c r="H19" s="45">
        <v>264969342</v>
      </c>
      <c r="I19" s="45">
        <v>0</v>
      </c>
      <c r="J19" s="45">
        <f>20386000000+117000000</f>
        <v>20503000000</v>
      </c>
    </row>
    <row r="20" spans="1:11" ht="15.75">
      <c r="A20" s="24" t="s">
        <v>150</v>
      </c>
      <c r="B20" s="2" t="s">
        <v>151</v>
      </c>
      <c r="C20" s="2" t="s">
        <v>139</v>
      </c>
      <c r="D20" s="13">
        <v>215.42</v>
      </c>
      <c r="E20" s="13">
        <v>211.74</v>
      </c>
      <c r="F20" s="43">
        <f t="shared" si="0"/>
        <v>213.57999999999998</v>
      </c>
      <c r="G20" s="43">
        <v>214.34</v>
      </c>
      <c r="H20" s="45">
        <f>(138+732-0.3)*1000000</f>
        <v>869700000</v>
      </c>
      <c r="I20" s="45">
        <v>0</v>
      </c>
      <c r="J20" s="45">
        <f>19784000000+2131000000</f>
        <v>21915000000</v>
      </c>
    </row>
    <row r="21" spans="1:11" ht="16.5" thickBo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1" ht="15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1" ht="15.75">
      <c r="A23" s="47"/>
      <c r="B23" s="47"/>
      <c r="C23" s="47"/>
      <c r="D23" s="47" t="s">
        <v>6</v>
      </c>
      <c r="E23" s="47"/>
      <c r="F23" s="47"/>
      <c r="G23" s="47"/>
      <c r="H23" t="s">
        <v>6</v>
      </c>
      <c r="J23" s="136" t="s">
        <v>6</v>
      </c>
      <c r="K23" s="47"/>
    </row>
    <row r="24" spans="1:11" ht="15.75">
      <c r="A24" s="47"/>
      <c r="B24" s="47"/>
      <c r="C24" s="47"/>
      <c r="D24" s="47"/>
      <c r="E24" s="47"/>
      <c r="F24" s="47"/>
      <c r="G24" s="47"/>
      <c r="J24" s="47" t="s">
        <v>6</v>
      </c>
      <c r="K24" s="47" t="s">
        <v>6</v>
      </c>
    </row>
    <row r="25" spans="1:11" ht="15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5.75">
      <c r="A26" s="47"/>
      <c r="B26" s="47"/>
      <c r="C26" s="47"/>
      <c r="D26" s="47"/>
      <c r="E26" s="47"/>
      <c r="F26" s="47"/>
      <c r="G26" s="47"/>
      <c r="H26" s="47" t="s">
        <v>6</v>
      </c>
      <c r="I26" s="47"/>
      <c r="J26" s="47"/>
      <c r="K26" s="47" t="s">
        <v>6</v>
      </c>
    </row>
    <row r="27" spans="1:11" ht="15.75">
      <c r="A27" s="47"/>
      <c r="B27" s="47"/>
      <c r="C27" s="47"/>
      <c r="D27" s="47"/>
      <c r="E27" s="35" t="s">
        <v>6</v>
      </c>
      <c r="F27" s="47"/>
      <c r="G27" s="47"/>
      <c r="H27" s="47"/>
      <c r="I27" s="47"/>
      <c r="J27" s="47"/>
      <c r="K27" s="47"/>
    </row>
    <row r="28" spans="1:11" ht="15.75">
      <c r="A28" s="36"/>
      <c r="B28" s="36"/>
      <c r="C28" s="36"/>
      <c r="D28" s="35" t="s">
        <v>23</v>
      </c>
      <c r="E28" s="36" t="s">
        <v>23</v>
      </c>
      <c r="F28" s="35" t="s">
        <v>23</v>
      </c>
      <c r="G28" s="35" t="s">
        <v>23</v>
      </c>
      <c r="H28" s="35" t="s">
        <v>23</v>
      </c>
      <c r="I28" s="35" t="s">
        <v>23</v>
      </c>
      <c r="J28" s="35" t="s">
        <v>23</v>
      </c>
      <c r="K28" s="47"/>
    </row>
    <row r="29" spans="1:11" ht="15.75">
      <c r="A29" s="36" t="s">
        <v>6</v>
      </c>
      <c r="B29" s="36" t="s">
        <v>26</v>
      </c>
      <c r="C29" s="36" t="s">
        <v>27</v>
      </c>
      <c r="D29" s="36" t="s">
        <v>25</v>
      </c>
      <c r="E29" s="36" t="s">
        <v>31</v>
      </c>
      <c r="F29" s="36" t="s">
        <v>46</v>
      </c>
      <c r="G29" s="38" t="s">
        <v>47</v>
      </c>
      <c r="H29" s="38" t="s">
        <v>48</v>
      </c>
      <c r="I29" s="38" t="s">
        <v>49</v>
      </c>
      <c r="J29" s="38" t="s">
        <v>140</v>
      </c>
      <c r="K29" s="47"/>
    </row>
    <row r="30" spans="1:11" ht="16.5" thickBot="1">
      <c r="A30" s="39" t="s">
        <v>33</v>
      </c>
      <c r="B30" s="39" t="s">
        <v>34</v>
      </c>
      <c r="C30" s="39" t="s">
        <v>35</v>
      </c>
      <c r="D30" s="39" t="s">
        <v>51</v>
      </c>
      <c r="E30" s="39" t="s">
        <v>51</v>
      </c>
      <c r="F30" s="39" t="s">
        <v>51</v>
      </c>
      <c r="G30" s="39" t="s">
        <v>51</v>
      </c>
      <c r="H30" s="39" t="s">
        <v>52</v>
      </c>
      <c r="I30" s="39" t="s">
        <v>6</v>
      </c>
      <c r="J30" s="39" t="s">
        <v>6</v>
      </c>
      <c r="K30" s="47"/>
    </row>
    <row r="31" spans="1:11" ht="15.75">
      <c r="A31" s="41" t="s">
        <v>40</v>
      </c>
      <c r="B31" s="41" t="s">
        <v>40</v>
      </c>
      <c r="C31" s="41" t="s">
        <v>40</v>
      </c>
      <c r="D31" s="41" t="s">
        <v>53</v>
      </c>
      <c r="E31" s="41" t="s">
        <v>42</v>
      </c>
      <c r="F31" s="41" t="s">
        <v>42</v>
      </c>
      <c r="G31" s="41" t="s">
        <v>42</v>
      </c>
      <c r="H31" s="41" t="s">
        <v>53</v>
      </c>
      <c r="I31" s="41" t="s">
        <v>53</v>
      </c>
      <c r="J31" s="41" t="s">
        <v>53</v>
      </c>
      <c r="K31" s="47"/>
    </row>
    <row r="32" spans="1:11" ht="15.75">
      <c r="A32" s="36"/>
      <c r="B32" s="36"/>
      <c r="C32" s="36"/>
      <c r="D32" s="47"/>
      <c r="E32" s="47"/>
      <c r="F32" t="s">
        <v>6</v>
      </c>
      <c r="G32" t="s">
        <v>6</v>
      </c>
      <c r="H32" s="42"/>
      <c r="I32" s="42"/>
      <c r="J32" s="42"/>
      <c r="K32" s="47"/>
    </row>
    <row r="33" spans="1:14" ht="15.75">
      <c r="A33" s="24" t="str">
        <f t="shared" ref="A33:C36" si="1">+A17</f>
        <v>Air Transport Services Group</v>
      </c>
      <c r="B33" s="2" t="str">
        <f t="shared" si="1"/>
        <v>ATSG</v>
      </c>
      <c r="C33" s="2" t="str">
        <f t="shared" si="1"/>
        <v>Air Trans</v>
      </c>
      <c r="D33" s="96">
        <f>(+H17)*G17</f>
        <v>2178297336.54</v>
      </c>
      <c r="E33" s="161">
        <f>+K17</f>
        <v>0</v>
      </c>
      <c r="F33" s="96">
        <f>+E53</f>
        <v>63170000</v>
      </c>
      <c r="G33" s="45">
        <f>+J17*(1336.5/1299.4)</f>
        <v>1336461943.589349</v>
      </c>
      <c r="H33" s="45">
        <f t="shared" ref="H33:H36" si="2">+D33+E33+F33+G33</f>
        <v>3577929280.1293488</v>
      </c>
      <c r="I33" s="162">
        <f>+D33/H33</f>
        <v>0.60881508995651545</v>
      </c>
      <c r="J33" s="11">
        <f t="shared" ref="J33:J36" si="3">(+E33+F33+G33)/H33</f>
        <v>0.39118491004348466</v>
      </c>
      <c r="K33" s="138" t="s">
        <v>6</v>
      </c>
    </row>
    <row r="34" spans="1:14" ht="15.75">
      <c r="A34" s="160" t="str">
        <f t="shared" si="1"/>
        <v>Atlas Air</v>
      </c>
      <c r="B34" s="13" t="str">
        <f t="shared" si="1"/>
        <v>AAWW</v>
      </c>
      <c r="C34" s="13" t="str">
        <f t="shared" si="1"/>
        <v>Air Trans</v>
      </c>
      <c r="D34" s="96">
        <f>(+H18)*G18</f>
        <v>2749781872.2400002</v>
      </c>
      <c r="E34" s="96">
        <f>+K18</f>
        <v>0</v>
      </c>
      <c r="F34" s="96">
        <f>+E54</f>
        <v>221405000</v>
      </c>
      <c r="G34" s="45">
        <f>+J18*(2449099/2117884)</f>
        <v>2653782269.3376975</v>
      </c>
      <c r="H34" s="45">
        <f t="shared" si="2"/>
        <v>5624969141.5776978</v>
      </c>
      <c r="I34" s="162">
        <f>+D34/H34</f>
        <v>0.48885279243838453</v>
      </c>
      <c r="J34" s="11">
        <f t="shared" si="3"/>
        <v>0.51114720756161547</v>
      </c>
      <c r="K34" s="138" t="s">
        <v>6</v>
      </c>
    </row>
    <row r="35" spans="1:14" ht="15.75">
      <c r="A35" s="24" t="str">
        <f t="shared" si="1"/>
        <v>FedEx Corp ***</v>
      </c>
      <c r="B35" s="2" t="str">
        <f t="shared" si="1"/>
        <v>FDX</v>
      </c>
      <c r="C35" s="2" t="str">
        <f t="shared" si="1"/>
        <v>Air Trans</v>
      </c>
      <c r="D35" s="95">
        <f>((+H19)*G19)-9075000000</f>
        <v>59456670614.879997</v>
      </c>
      <c r="E35" s="96">
        <f>+K19</f>
        <v>0</v>
      </c>
      <c r="F35" s="96">
        <f>+E55</f>
        <v>16326000000</v>
      </c>
      <c r="G35" s="45">
        <f>+J19*(23100/20000)</f>
        <v>23680965000</v>
      </c>
      <c r="H35" s="45">
        <f>+D35+E35+F35+G35</f>
        <v>99463635614.880005</v>
      </c>
      <c r="I35" s="11">
        <f>+D35/H35</f>
        <v>0.59777294734222575</v>
      </c>
      <c r="J35" s="11">
        <f t="shared" si="3"/>
        <v>0.40222705265777414</v>
      </c>
      <c r="K35" s="138" t="s">
        <v>6</v>
      </c>
    </row>
    <row r="36" spans="1:14" ht="15.75">
      <c r="A36" s="24" t="str">
        <f t="shared" si="1"/>
        <v xml:space="preserve">United Parcel Service </v>
      </c>
      <c r="B36" s="2" t="str">
        <f t="shared" si="1"/>
        <v>UPS</v>
      </c>
      <c r="C36" s="2" t="str">
        <f t="shared" si="1"/>
        <v>Air Trans</v>
      </c>
      <c r="D36" s="95">
        <f>(+H20)*G20</f>
        <v>186411498000</v>
      </c>
      <c r="E36" s="96">
        <f>+K20</f>
        <v>0</v>
      </c>
      <c r="F36" s="96">
        <f>+E56</f>
        <v>3613000000</v>
      </c>
      <c r="G36" s="45">
        <f>+J20*(25100/21915)</f>
        <v>25100000000</v>
      </c>
      <c r="H36" s="45">
        <f t="shared" si="2"/>
        <v>215124498000</v>
      </c>
      <c r="I36" s="11">
        <f>+D36/H36</f>
        <v>0.86652845088800623</v>
      </c>
      <c r="J36" s="11">
        <f t="shared" si="3"/>
        <v>0.13347154911199374</v>
      </c>
      <c r="K36" s="138" t="s">
        <v>6</v>
      </c>
    </row>
    <row r="37" spans="1:14" ht="15.75">
      <c r="A37" s="24"/>
      <c r="B37" s="2"/>
      <c r="C37" s="2"/>
      <c r="D37" s="137"/>
      <c r="E37" s="137"/>
      <c r="F37" t="s">
        <v>6</v>
      </c>
      <c r="G37" s="139"/>
      <c r="H37" s="139"/>
      <c r="I37" s="140"/>
      <c r="J37" s="140"/>
      <c r="K37" s="47"/>
    </row>
    <row r="38" spans="1:14" ht="16.5" thickBot="1">
      <c r="A38" s="46"/>
      <c r="B38" s="46"/>
      <c r="C38" s="46"/>
      <c r="D38" s="46"/>
      <c r="E38" s="46"/>
      <c r="F38" s="5"/>
      <c r="G38" s="46"/>
      <c r="H38" s="46"/>
      <c r="I38" s="46"/>
      <c r="J38" s="46"/>
      <c r="K38" s="47"/>
    </row>
    <row r="41" spans="1:14" ht="15.75">
      <c r="A41" s="22" t="s">
        <v>57</v>
      </c>
      <c r="H41" s="54" t="s">
        <v>54</v>
      </c>
      <c r="I41" s="141" t="s">
        <v>160</v>
      </c>
      <c r="J41" s="141" t="s">
        <v>161</v>
      </c>
    </row>
    <row r="42" spans="1:14" ht="15.75">
      <c r="A42" s="22" t="s">
        <v>59</v>
      </c>
      <c r="H42" s="54" t="s">
        <v>58</v>
      </c>
      <c r="I42" s="11">
        <f>MEDIAN(I33:I36)</f>
        <v>0.6032940186493706</v>
      </c>
      <c r="J42" s="11">
        <f>MEDIAN(J33:J36)</f>
        <v>0.3967059813506294</v>
      </c>
    </row>
    <row r="43" spans="1:14" ht="15.75">
      <c r="A43" s="102" t="s">
        <v>162</v>
      </c>
      <c r="G43" s="22" t="s">
        <v>6</v>
      </c>
      <c r="H43" s="54" t="s">
        <v>29</v>
      </c>
      <c r="I43" s="11">
        <f>AVERAGE(I33:I36)</f>
        <v>0.64049232015628299</v>
      </c>
      <c r="J43" s="11">
        <f>AVERAGE(J33:J36)</f>
        <v>0.35950767984371701</v>
      </c>
    </row>
    <row r="44" spans="1:14" ht="15.75">
      <c r="A44" s="22" t="s">
        <v>60</v>
      </c>
      <c r="H44" s="24"/>
      <c r="I44" s="24"/>
      <c r="J44" s="24"/>
    </row>
    <row r="45" spans="1:14" ht="21">
      <c r="A45" s="22" t="s">
        <v>142</v>
      </c>
      <c r="H45" s="58" t="s">
        <v>20</v>
      </c>
      <c r="I45" s="59">
        <v>0.6</v>
      </c>
      <c r="J45" s="59">
        <v>0.4</v>
      </c>
      <c r="K45" s="142" t="s">
        <v>6</v>
      </c>
    </row>
    <row r="46" spans="1:14" ht="16.5" thickBot="1">
      <c r="A46" s="5"/>
      <c r="B46" s="5"/>
      <c r="C46" s="5"/>
      <c r="D46" s="5"/>
      <c r="E46" s="5"/>
      <c r="F46" s="5"/>
      <c r="G46" s="5"/>
      <c r="H46" s="5" t="s">
        <v>6</v>
      </c>
      <c r="I46" s="143"/>
      <c r="J46" s="143"/>
      <c r="K46" s="5"/>
      <c r="L46" s="5"/>
      <c r="M46" s="5"/>
      <c r="N46" s="5"/>
    </row>
    <row r="47" spans="1:14" ht="16.5" thickBot="1">
      <c r="H47" s="144" t="s">
        <v>6</v>
      </c>
      <c r="I47" s="145" t="s">
        <v>6</v>
      </c>
      <c r="J47" s="145" t="s">
        <v>6</v>
      </c>
      <c r="L47" t="s">
        <v>6</v>
      </c>
    </row>
    <row r="48" spans="1:14" ht="15.75">
      <c r="H48" s="163"/>
      <c r="I48" s="164">
        <f>+I33</f>
        <v>0.60881508995651545</v>
      </c>
      <c r="J48" s="164">
        <f>+J33</f>
        <v>0.39118491004348466</v>
      </c>
      <c r="K48" s="165"/>
    </row>
    <row r="49" spans="2:11" ht="15.75">
      <c r="H49" s="166"/>
      <c r="I49" s="167">
        <f>+I35</f>
        <v>0.59777294734222575</v>
      </c>
      <c r="J49" s="167">
        <f>+J35</f>
        <v>0.40222705265777414</v>
      </c>
      <c r="K49" s="168"/>
    </row>
    <row r="50" spans="2:11" ht="16.5" thickBot="1">
      <c r="H50" s="166"/>
      <c r="I50" s="169">
        <f>+I36</f>
        <v>0.86652845088800623</v>
      </c>
      <c r="J50" s="169">
        <f>+J36</f>
        <v>0.13347154911199374</v>
      </c>
      <c r="K50" s="168"/>
    </row>
    <row r="51" spans="2:11" ht="16.5" thickTop="1">
      <c r="H51" s="170" t="s">
        <v>58</v>
      </c>
      <c r="I51" s="167">
        <f>MEDIAN(I48:I50)</f>
        <v>0.60881508995651545</v>
      </c>
      <c r="J51" s="167">
        <f>MEDIAN(J48:J50)</f>
        <v>0.39118491004348466</v>
      </c>
      <c r="K51" s="168"/>
    </row>
    <row r="52" spans="2:11" ht="15.75">
      <c r="B52" s="60" t="s">
        <v>61</v>
      </c>
      <c r="C52" s="146" t="s">
        <v>33</v>
      </c>
      <c r="D52" s="62" t="s">
        <v>62</v>
      </c>
      <c r="E52" s="62" t="s">
        <v>63</v>
      </c>
      <c r="H52" s="170" t="s">
        <v>29</v>
      </c>
      <c r="I52" s="167">
        <f>AVERAGE(I48:I50)</f>
        <v>0.69103882939558259</v>
      </c>
      <c r="J52" s="167">
        <f>AVERAGE(J48:J50)</f>
        <v>0.30896117060441752</v>
      </c>
      <c r="K52" s="168"/>
    </row>
    <row r="53" spans="2:11" ht="21.75" thickBot="1">
      <c r="B53" s="171">
        <v>390327000</v>
      </c>
      <c r="C53" s="172" t="s">
        <v>163</v>
      </c>
      <c r="D53" s="173">
        <v>62644000</v>
      </c>
      <c r="E53" s="174">
        <f>(18783+44387)*1000</f>
        <v>63170000</v>
      </c>
      <c r="H53" s="175" t="s">
        <v>20</v>
      </c>
      <c r="I53" s="176">
        <v>0.65</v>
      </c>
      <c r="J53" s="176">
        <v>0.35</v>
      </c>
      <c r="K53" s="177" t="s">
        <v>164</v>
      </c>
    </row>
    <row r="54" spans="2:11" ht="15.75">
      <c r="B54" s="178">
        <v>67745000</v>
      </c>
      <c r="C54" s="179" t="str">
        <f>+A34</f>
        <v>Atlas Air</v>
      </c>
      <c r="D54" s="180">
        <v>138744000</v>
      </c>
      <c r="E54" s="180">
        <f>55383000+166022000</f>
        <v>221405000</v>
      </c>
    </row>
    <row r="55" spans="2:11" ht="15.75">
      <c r="B55" s="178">
        <v>2371000000</v>
      </c>
      <c r="C55" s="172" t="str">
        <f>+A35</f>
        <v>FedEx Corp ***</v>
      </c>
      <c r="D55" s="180">
        <v>16018000000</v>
      </c>
      <c r="E55" s="180">
        <v>16326000000</v>
      </c>
    </row>
    <row r="56" spans="2:11" ht="15.75">
      <c r="B56" s="63">
        <v>1247000000</v>
      </c>
      <c r="C56" s="64" t="str">
        <f>+A36</f>
        <v xml:space="preserve">United Parcel Service </v>
      </c>
      <c r="D56" s="65">
        <v>3562000000</v>
      </c>
      <c r="E56" s="65">
        <v>3613000000</v>
      </c>
      <c r="I56" s="124"/>
      <c r="J56" s="124"/>
    </row>
    <row r="57" spans="2:11" ht="15.75">
      <c r="I57" s="124"/>
      <c r="J57" s="124"/>
    </row>
    <row r="58" spans="2:11" ht="15.75">
      <c r="I58" s="124"/>
      <c r="J58" s="124"/>
    </row>
    <row r="59" spans="2:11" ht="15.75">
      <c r="D59" t="s">
        <v>6</v>
      </c>
      <c r="H59" s="54"/>
      <c r="I59" s="124"/>
      <c r="J59" s="124"/>
    </row>
    <row r="60" spans="2:11" ht="15.75">
      <c r="H60" s="54"/>
      <c r="I60" s="124"/>
      <c r="J60" s="124"/>
    </row>
    <row r="61" spans="2:11" ht="21">
      <c r="H61" s="58"/>
      <c r="I61" s="181"/>
      <c r="J61" s="181"/>
      <c r="K61" s="182"/>
    </row>
    <row r="65" spans="3:4">
      <c r="C65" s="85" t="s">
        <v>6</v>
      </c>
    </row>
    <row r="66" spans="3:4" ht="15.75">
      <c r="C66" s="147" t="s">
        <v>6</v>
      </c>
    </row>
    <row r="67" spans="3:4">
      <c r="D67" s="148" t="s">
        <v>6</v>
      </c>
    </row>
  </sheetData>
  <mergeCells count="2">
    <mergeCell ref="D12:E12"/>
    <mergeCell ref="D13:E13"/>
  </mergeCells>
  <pageMargins left="0.25" right="0.25" top="0.75" bottom="0.75" header="0.3" footer="0.3"/>
  <pageSetup scale="33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8B4C-1C96-4923-90E1-4D2FE0268FB4}">
  <sheetPr codeName="Sheet39">
    <pageSetUpPr fitToPage="1"/>
  </sheetPr>
  <dimension ref="A1:M20"/>
  <sheetViews>
    <sheetView zoomScaleNormal="100" workbookViewId="0">
      <selection activeCell="L12" sqref="L12"/>
    </sheetView>
  </sheetViews>
  <sheetFormatPr defaultRowHeight="15"/>
  <cols>
    <col min="1" max="1" width="45.140625" customWidth="1"/>
    <col min="2" max="2" width="10.85546875" bestFit="1" customWidth="1"/>
    <col min="3" max="3" width="12.5703125" bestFit="1" customWidth="1"/>
    <col min="4" max="4" width="12.5703125" customWidth="1"/>
    <col min="5" max="5" width="12.28515625" customWidth="1"/>
    <col min="6" max="6" width="10.85546875" customWidth="1"/>
    <col min="7" max="7" width="12.85546875" customWidth="1"/>
    <col min="8" max="8" width="21.85546875" customWidth="1"/>
    <col min="9" max="9" width="15.140625" customWidth="1"/>
    <col min="10" max="10" width="15.5703125" customWidth="1"/>
    <col min="11" max="11" width="13.140625" customWidth="1"/>
  </cols>
  <sheetData>
    <row r="1" spans="1:13" ht="21">
      <c r="A1" s="23" t="s">
        <v>0</v>
      </c>
    </row>
    <row r="2" spans="1:13" ht="15.75">
      <c r="A2" s="24" t="s">
        <v>1</v>
      </c>
    </row>
    <row r="3" spans="1:13">
      <c r="A3" s="22" t="s">
        <v>2</v>
      </c>
    </row>
    <row r="4" spans="1:13">
      <c r="F4" s="4" t="s">
        <v>6</v>
      </c>
    </row>
    <row r="5" spans="1:13" ht="15.75">
      <c r="A5" s="66" t="s">
        <v>135</v>
      </c>
    </row>
    <row r="6" spans="1:13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3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143</v>
      </c>
      <c r="I7" s="3" t="s">
        <v>75</v>
      </c>
    </row>
    <row r="8" spans="1:13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3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3">
      <c r="A10" s="3"/>
      <c r="B10" s="3"/>
      <c r="C10" s="3"/>
      <c r="D10" s="3"/>
      <c r="E10" s="3"/>
      <c r="F10" s="3"/>
      <c r="G10" s="3"/>
      <c r="H10" s="3"/>
      <c r="I10" s="3"/>
    </row>
    <row r="11" spans="1:13">
      <c r="A11" s="22" t="s">
        <v>156</v>
      </c>
      <c r="B11" s="3" t="s">
        <v>157</v>
      </c>
      <c r="C11" s="3" t="s">
        <v>76</v>
      </c>
      <c r="D11" s="68">
        <v>0.7</v>
      </c>
      <c r="E11" s="71">
        <v>0.39400000000000002</v>
      </c>
      <c r="F11" s="3" t="s">
        <v>124</v>
      </c>
      <c r="G11" s="183"/>
      <c r="H11" s="104" t="s">
        <v>79</v>
      </c>
      <c r="I11" s="184">
        <v>6.13E-2</v>
      </c>
    </row>
    <row r="12" spans="1:13">
      <c r="A12" s="22" t="s">
        <v>165</v>
      </c>
      <c r="B12" s="3" t="s">
        <v>159</v>
      </c>
      <c r="C12" s="3" t="s">
        <v>76</v>
      </c>
      <c r="D12" s="68">
        <v>0.75</v>
      </c>
      <c r="E12" s="71">
        <v>0.23</v>
      </c>
      <c r="F12" s="3" t="s">
        <v>124</v>
      </c>
      <c r="G12" s="183"/>
      <c r="H12" s="71" t="s">
        <v>100</v>
      </c>
      <c r="I12" s="184">
        <v>3.3500000000000002E-2</v>
      </c>
      <c r="L12" t="s">
        <v>6</v>
      </c>
    </row>
    <row r="13" spans="1:13">
      <c r="A13" s="22" t="s">
        <v>144</v>
      </c>
      <c r="B13" s="3" t="s">
        <v>138</v>
      </c>
      <c r="C13" s="3" t="s">
        <v>76</v>
      </c>
      <c r="D13" s="68">
        <v>1.05</v>
      </c>
      <c r="E13" s="71">
        <v>0.214</v>
      </c>
      <c r="F13" s="3" t="s">
        <v>145</v>
      </c>
      <c r="G13" s="68" t="s">
        <v>127</v>
      </c>
      <c r="H13" s="68" t="s">
        <v>146</v>
      </c>
      <c r="I13" s="69">
        <v>3.3500000000000002E-2</v>
      </c>
      <c r="J13" t="s">
        <v>6</v>
      </c>
    </row>
    <row r="14" spans="1:13">
      <c r="A14" s="22" t="s">
        <v>150</v>
      </c>
      <c r="B14" s="3" t="s">
        <v>151</v>
      </c>
      <c r="C14" s="3" t="s">
        <v>76</v>
      </c>
      <c r="D14" s="68">
        <v>0.8</v>
      </c>
      <c r="E14" s="71">
        <v>0.223</v>
      </c>
      <c r="F14" s="3" t="s">
        <v>152</v>
      </c>
      <c r="G14" s="68" t="s">
        <v>152</v>
      </c>
      <c r="H14" s="68" t="s">
        <v>153</v>
      </c>
      <c r="I14" s="69">
        <v>3.0200000000000001E-2</v>
      </c>
      <c r="J14" t="s">
        <v>6</v>
      </c>
      <c r="M14" t="s">
        <v>6</v>
      </c>
    </row>
    <row r="15" spans="1:13" ht="15.75" thickBot="1">
      <c r="C15" s="76"/>
      <c r="D15" s="73"/>
      <c r="E15" s="73"/>
      <c r="F15" s="76"/>
      <c r="G15" s="73"/>
      <c r="H15" s="73"/>
      <c r="I15" s="73"/>
    </row>
    <row r="16" spans="1:13" ht="15.75" thickTop="1">
      <c r="C16" s="149" t="s">
        <v>54</v>
      </c>
      <c r="D16" s="150" t="s">
        <v>166</v>
      </c>
      <c r="E16" s="150" t="s">
        <v>167</v>
      </c>
      <c r="I16" s="150" t="s">
        <v>168</v>
      </c>
    </row>
    <row r="17" spans="3:10">
      <c r="C17" s="77" t="s">
        <v>58</v>
      </c>
      <c r="D17" s="185">
        <f>MEDIAN(D11:D14)</f>
        <v>0.77500000000000002</v>
      </c>
      <c r="E17" s="109">
        <f>MEDIAN(E11:E14)</f>
        <v>0.22650000000000001</v>
      </c>
      <c r="I17" s="109">
        <f>MEDIAN(I11:I14)</f>
        <v>3.3500000000000002E-2</v>
      </c>
    </row>
    <row r="18" spans="3:10">
      <c r="C18" s="77" t="s">
        <v>29</v>
      </c>
      <c r="D18" s="186">
        <f>AVERAGE(D11:D14)</f>
        <v>0.82499999999999996</v>
      </c>
      <c r="E18" s="12">
        <f>AVERAGE(E11:E14)</f>
        <v>0.26524999999999999</v>
      </c>
      <c r="I18" s="12">
        <f>AVERAGE(I11:I14)</f>
        <v>3.9625E-2</v>
      </c>
    </row>
    <row r="19" spans="3:10">
      <c r="J19" s="151"/>
    </row>
    <row r="20" spans="3:10" ht="21">
      <c r="H20" s="58" t="s">
        <v>82</v>
      </c>
      <c r="I20" s="105">
        <v>3.3500000000000002E-2</v>
      </c>
      <c r="J20" s="152" t="s">
        <v>6</v>
      </c>
    </row>
  </sheetData>
  <pageMargins left="0.25" right="0.25" top="0.75" bottom="0.75" header="0.3" footer="0.3"/>
  <pageSetup scale="71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CF73-C446-4D0A-91A5-A01BCFA21FDE}">
  <sheetPr codeName="Sheet40">
    <pageSetUpPr fitToPage="1"/>
  </sheetPr>
  <dimension ref="A1:G37"/>
  <sheetViews>
    <sheetView zoomScale="90" zoomScaleNormal="90" workbookViewId="0">
      <selection activeCell="F37" sqref="F37"/>
    </sheetView>
  </sheetViews>
  <sheetFormatPr defaultRowHeight="15"/>
  <cols>
    <col min="1" max="1" width="43.7109375" customWidth="1"/>
    <col min="2" max="2" width="14.42578125" bestFit="1" customWidth="1"/>
    <col min="3" max="3" width="18.85546875" customWidth="1"/>
    <col min="4" max="4" width="20.42578125" customWidth="1"/>
    <col min="5" max="5" width="14.7109375" bestFit="1" customWidth="1"/>
    <col min="6" max="6" width="21.7109375" customWidth="1"/>
    <col min="7" max="7" width="9.140625" customWidth="1"/>
  </cols>
  <sheetData>
    <row r="1" spans="1:7" ht="21">
      <c r="A1" s="23" t="s">
        <v>0</v>
      </c>
    </row>
    <row r="2" spans="1:7" ht="15.75">
      <c r="A2" s="24" t="s">
        <v>1</v>
      </c>
    </row>
    <row r="3" spans="1:7">
      <c r="A3" s="22" t="s">
        <v>2</v>
      </c>
    </row>
    <row r="4" spans="1:7">
      <c r="D4" s="4" t="s">
        <v>6</v>
      </c>
    </row>
    <row r="5" spans="1:7" ht="15.75">
      <c r="A5" s="66" t="s">
        <v>135</v>
      </c>
    </row>
    <row r="6" spans="1:7" ht="15.75">
      <c r="A6" s="66"/>
    </row>
    <row r="7" spans="1:7" ht="18.75">
      <c r="A7" s="66"/>
      <c r="D7" s="84" t="s">
        <v>83</v>
      </c>
    </row>
    <row r="8" spans="1:7" ht="18.75">
      <c r="A8" s="66"/>
      <c r="D8" s="84" t="s">
        <v>84</v>
      </c>
    </row>
    <row r="9" spans="1:7" ht="15.75">
      <c r="A9" s="66"/>
      <c r="D9" s="153" t="s">
        <v>6</v>
      </c>
    </row>
    <row r="10" spans="1:7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7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7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7">
      <c r="A13" s="8" t="s">
        <v>6</v>
      </c>
      <c r="B13" s="8" t="s">
        <v>6</v>
      </c>
      <c r="C13" s="8" t="s">
        <v>40</v>
      </c>
      <c r="D13" s="154" t="s">
        <v>147</v>
      </c>
      <c r="E13" s="8" t="s">
        <v>6</v>
      </c>
      <c r="F13" s="8" t="s">
        <v>6</v>
      </c>
    </row>
    <row r="14" spans="1:7">
      <c r="A14" s="3"/>
      <c r="B14" s="3"/>
      <c r="C14" s="3"/>
      <c r="D14" s="3"/>
      <c r="E14" s="3"/>
      <c r="F14" s="3"/>
    </row>
    <row r="15" spans="1:7">
      <c r="A15" s="22" t="s">
        <v>6</v>
      </c>
      <c r="B15" s="3" t="s">
        <v>6</v>
      </c>
      <c r="C15" s="68" t="s">
        <v>6</v>
      </c>
      <c r="D15" s="68" t="s">
        <v>6</v>
      </c>
      <c r="E15" s="86" t="s">
        <v>6</v>
      </c>
      <c r="F15" s="91" t="s">
        <v>6</v>
      </c>
    </row>
    <row r="16" spans="1:7">
      <c r="A16" s="22" t="s">
        <v>156</v>
      </c>
      <c r="B16" s="3" t="s">
        <v>157</v>
      </c>
      <c r="C16" s="68">
        <f>'[4]S&amp;D'!G17</f>
        <v>29.38</v>
      </c>
      <c r="D16" s="68">
        <v>5.76</v>
      </c>
      <c r="E16" s="68">
        <f>C16/D16</f>
        <v>5.1006944444444446</v>
      </c>
      <c r="F16" s="71">
        <f>1/E16</f>
        <v>0.19605173587474473</v>
      </c>
      <c r="G16" s="187"/>
    </row>
    <row r="17" spans="1:6">
      <c r="A17" s="22" t="s">
        <v>165</v>
      </c>
      <c r="B17" s="3" t="s">
        <v>159</v>
      </c>
      <c r="C17" s="68">
        <f>'[4]S&amp;D'!G18</f>
        <v>94.12</v>
      </c>
      <c r="D17" s="68">
        <v>27.15</v>
      </c>
      <c r="E17" s="68">
        <f>C17/D17</f>
        <v>3.4666666666666672</v>
      </c>
      <c r="F17" s="71">
        <f t="shared" ref="F17:F19" si="0">1/E17</f>
        <v>0.28846153846153844</v>
      </c>
    </row>
    <row r="18" spans="1:6">
      <c r="A18" s="22" t="s">
        <v>144</v>
      </c>
      <c r="B18" s="3" t="s">
        <v>138</v>
      </c>
      <c r="C18" s="68">
        <f>'[4]S&amp;D'!G19</f>
        <v>258.64</v>
      </c>
      <c r="D18" s="68">
        <v>32.46</v>
      </c>
      <c r="E18" s="68">
        <f t="shared" ref="E18:E19" si="1">C18/D18</f>
        <v>7.9679605668515086</v>
      </c>
      <c r="F18" s="71">
        <f t="shared" si="0"/>
        <v>0.12550262913702445</v>
      </c>
    </row>
    <row r="19" spans="1:6">
      <c r="A19" s="22" t="s">
        <v>150</v>
      </c>
      <c r="B19" s="3" t="s">
        <v>151</v>
      </c>
      <c r="C19" s="68">
        <f>'[4]S&amp;D'!G20</f>
        <v>214.34</v>
      </c>
      <c r="D19" s="68">
        <v>15.55</v>
      </c>
      <c r="E19" s="68">
        <f t="shared" si="1"/>
        <v>13.783922829581993</v>
      </c>
      <c r="F19" s="71">
        <f t="shared" si="0"/>
        <v>7.2548287767098998E-2</v>
      </c>
    </row>
    <row r="20" spans="1:6" ht="15.75" thickBot="1">
      <c r="A20" s="76"/>
      <c r="B20" s="74"/>
      <c r="C20" s="74"/>
      <c r="D20" s="89"/>
      <c r="E20" s="89"/>
      <c r="F20" s="188"/>
    </row>
    <row r="21" spans="1:6" ht="15.75" thickTop="1">
      <c r="B21" s="3" t="s">
        <v>54</v>
      </c>
      <c r="C21" s="86" t="s">
        <v>169</v>
      </c>
      <c r="D21" s="86" t="s">
        <v>170</v>
      </c>
      <c r="E21" s="86" t="s">
        <v>171</v>
      </c>
      <c r="F21" s="72" t="s">
        <v>172</v>
      </c>
    </row>
    <row r="22" spans="1:6">
      <c r="B22" s="3" t="s">
        <v>58</v>
      </c>
      <c r="C22" s="155">
        <f>MEDIAN(C16:C19)</f>
        <v>154.23000000000002</v>
      </c>
      <c r="D22" s="155">
        <f>MEDIAN(D16:D19)</f>
        <v>21.35</v>
      </c>
      <c r="E22" s="155">
        <f>MEDIAN(E16:E19)</f>
        <v>6.5343275056479762</v>
      </c>
      <c r="F22" s="109">
        <f>MEDIAN(F16:F19)</f>
        <v>0.16077718250588457</v>
      </c>
    </row>
    <row r="23" spans="1:6">
      <c r="B23" s="3" t="s">
        <v>29</v>
      </c>
      <c r="C23" s="155">
        <f>AVERAGE(C16:C19)</f>
        <v>149.12</v>
      </c>
      <c r="D23" s="155">
        <f>AVERAGE(D16:D19)</f>
        <v>20.23</v>
      </c>
      <c r="E23" s="155">
        <f>AVERAGE(E16:E19)</f>
        <v>7.5798111268861534</v>
      </c>
      <c r="F23" s="109">
        <f>AVERAGE(F16:F19)</f>
        <v>0.17064104781010164</v>
      </c>
    </row>
    <row r="24" spans="1:6">
      <c r="B24" s="3"/>
      <c r="C24" s="86"/>
      <c r="D24" s="86"/>
      <c r="E24" s="86"/>
      <c r="F24" s="81"/>
    </row>
    <row r="25" spans="1:6" ht="21">
      <c r="B25" s="3"/>
      <c r="C25" s="86"/>
      <c r="D25" s="86"/>
      <c r="E25" s="92" t="s">
        <v>20</v>
      </c>
      <c r="F25" s="105">
        <v>0.1608</v>
      </c>
    </row>
    <row r="26" spans="1:6">
      <c r="B26" s="3"/>
      <c r="C26" s="93"/>
      <c r="D26" s="93"/>
      <c r="E26" s="93"/>
      <c r="F26" s="94"/>
    </row>
    <row r="28" spans="1:6">
      <c r="A28" s="189" t="s">
        <v>173</v>
      </c>
    </row>
    <row r="29" spans="1:6">
      <c r="A29" s="22" t="s">
        <v>156</v>
      </c>
      <c r="B29" s="3" t="s">
        <v>157</v>
      </c>
      <c r="C29" s="68">
        <f>'[4]S&amp;D'!G17</f>
        <v>29.38</v>
      </c>
      <c r="D29" s="68">
        <v>5.76</v>
      </c>
      <c r="E29" s="68">
        <f>C29/D29</f>
        <v>5.1006944444444446</v>
      </c>
      <c r="F29" s="71">
        <f>1/E29</f>
        <v>0.19605173587474473</v>
      </c>
    </row>
    <row r="30" spans="1:6">
      <c r="A30" s="22" t="s">
        <v>144</v>
      </c>
      <c r="B30" s="3" t="s">
        <v>138</v>
      </c>
      <c r="C30" s="68">
        <f>'[4]S&amp;D'!G19</f>
        <v>258.64</v>
      </c>
      <c r="D30" s="68">
        <v>32.46</v>
      </c>
      <c r="E30" s="68">
        <f t="shared" ref="E30:E31" si="2">C30/D30</f>
        <v>7.9679605668515086</v>
      </c>
      <c r="F30" s="71">
        <f t="shared" ref="F30:F31" si="3">1/E30</f>
        <v>0.12550262913702445</v>
      </c>
    </row>
    <row r="31" spans="1:6">
      <c r="A31" s="22" t="s">
        <v>150</v>
      </c>
      <c r="B31" s="3" t="s">
        <v>151</v>
      </c>
      <c r="C31" s="68">
        <f>'[4]S&amp;D'!G20</f>
        <v>214.34</v>
      </c>
      <c r="D31" s="68">
        <v>15.55</v>
      </c>
      <c r="E31" s="68">
        <f t="shared" si="2"/>
        <v>13.783922829581993</v>
      </c>
      <c r="F31" s="71">
        <f t="shared" si="3"/>
        <v>7.2548287767098998E-2</v>
      </c>
    </row>
    <row r="32" spans="1:6" ht="15.75" thickBot="1">
      <c r="A32" s="76"/>
      <c r="B32" s="74"/>
      <c r="C32" s="74"/>
      <c r="D32" s="89"/>
      <c r="E32" s="89"/>
      <c r="F32" s="75"/>
    </row>
    <row r="33" spans="2:6" ht="15.75" thickTop="1">
      <c r="B33" s="3" t="s">
        <v>54</v>
      </c>
      <c r="C33" s="86" t="s">
        <v>169</v>
      </c>
      <c r="D33" s="86" t="s">
        <v>170</v>
      </c>
      <c r="E33" s="86" t="s">
        <v>174</v>
      </c>
      <c r="F33" s="72" t="s">
        <v>175</v>
      </c>
    </row>
    <row r="34" spans="2:6">
      <c r="B34" s="3" t="s">
        <v>58</v>
      </c>
      <c r="C34" s="155">
        <f>MEDIAN(C29:C31)</f>
        <v>214.34</v>
      </c>
      <c r="D34" s="155">
        <f>MEDIAN(D29:D31)</f>
        <v>15.55</v>
      </c>
      <c r="E34" s="155">
        <f>MEDIAN(E29:E31)</f>
        <v>7.9679605668515086</v>
      </c>
      <c r="F34" s="109">
        <f>MEDIAN(F29:F31)</f>
        <v>0.12550262913702445</v>
      </c>
    </row>
    <row r="35" spans="2:6">
      <c r="B35" s="3" t="s">
        <v>29</v>
      </c>
      <c r="C35" s="155">
        <f>AVERAGE(C29:C31)</f>
        <v>167.45333333333335</v>
      </c>
      <c r="D35" s="155">
        <f>AVERAGE(D29:D31)</f>
        <v>17.923333333333332</v>
      </c>
      <c r="E35" s="155">
        <f>AVERAGE(E29:E31)</f>
        <v>8.950859280292649</v>
      </c>
      <c r="F35" s="109">
        <f>AVERAGE(F29:F31)</f>
        <v>0.13136755092628938</v>
      </c>
    </row>
    <row r="36" spans="2:6">
      <c r="B36" s="3"/>
      <c r="C36" s="86"/>
      <c r="D36" s="86"/>
      <c r="E36" s="86"/>
      <c r="F36" s="81"/>
    </row>
    <row r="37" spans="2:6" ht="21">
      <c r="B37" s="3"/>
      <c r="C37" s="86"/>
      <c r="D37" s="86"/>
      <c r="E37" s="92" t="s">
        <v>20</v>
      </c>
      <c r="F37" s="105">
        <v>0.1255</v>
      </c>
    </row>
  </sheetData>
  <pageMargins left="0.25" right="0.25" top="0.75" bottom="0.75" header="0.3" footer="0.3"/>
  <pageSetup scale="72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EBE6-E592-453B-8A97-95093164BC11}">
  <sheetPr codeName="Sheet43">
    <pageSetUpPr fitToPage="1"/>
  </sheetPr>
  <dimension ref="A1:F24"/>
  <sheetViews>
    <sheetView zoomScaleNormal="100" workbookViewId="0">
      <selection activeCell="E18" sqref="E18"/>
    </sheetView>
  </sheetViews>
  <sheetFormatPr defaultRowHeight="15"/>
  <cols>
    <col min="1" max="1" width="24.85546875" customWidth="1"/>
    <col min="2" max="2" width="13.28515625" bestFit="1" customWidth="1"/>
    <col min="3" max="3" width="35.28515625" customWidth="1"/>
    <col min="4" max="4" width="12" bestFit="1" customWidth="1"/>
    <col min="5" max="5" width="20.85546875" bestFit="1" customWidth="1"/>
    <col min="6" max="6" width="16.28515625" customWidth="1"/>
  </cols>
  <sheetData>
    <row r="1" spans="1:6" ht="21">
      <c r="C1" s="1" t="s">
        <v>0</v>
      </c>
    </row>
    <row r="2" spans="1:6" ht="15.75">
      <c r="A2" s="190"/>
      <c r="C2" s="2" t="s">
        <v>1</v>
      </c>
    </row>
    <row r="3" spans="1:6">
      <c r="A3" s="190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176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</row>
    <row r="17" spans="1:6">
      <c r="A17" s="3"/>
      <c r="B17" s="3"/>
      <c r="C17" s="3"/>
      <c r="D17" s="3"/>
      <c r="E17" s="3"/>
      <c r="F17" s="3"/>
    </row>
    <row r="18" spans="1:6" ht="15.75">
      <c r="A18" s="2" t="s">
        <v>17</v>
      </c>
      <c r="B18" s="9">
        <f>'[5]S&amp;D'!H65</f>
        <v>0.59</v>
      </c>
      <c r="C18" s="9">
        <f>'[5]CF Multiples'!F37</f>
        <v>0.1024</v>
      </c>
      <c r="D18" s="13" t="s">
        <v>177</v>
      </c>
      <c r="E18" s="9">
        <f>+C18</f>
        <v>0.1024</v>
      </c>
      <c r="F18" s="162">
        <f>+E18*B18</f>
        <v>6.0415999999999997E-2</v>
      </c>
    </row>
    <row r="19" spans="1:6" ht="15.75">
      <c r="A19" s="2" t="s">
        <v>6</v>
      </c>
      <c r="B19" s="13" t="s">
        <v>6</v>
      </c>
      <c r="C19" s="13" t="s">
        <v>6</v>
      </c>
      <c r="D19" s="13" t="s">
        <v>6</v>
      </c>
      <c r="E19" s="191" t="s">
        <v>6</v>
      </c>
      <c r="F19" s="15" t="s">
        <v>6</v>
      </c>
    </row>
    <row r="20" spans="1:6" ht="15.75">
      <c r="A20" s="2" t="s">
        <v>18</v>
      </c>
      <c r="B20" s="9">
        <f>'[5]S&amp;D'!I65</f>
        <v>0.41</v>
      </c>
      <c r="C20" s="9">
        <f>+[5]Debt!I33</f>
        <v>3.3500000000000002E-2</v>
      </c>
      <c r="D20" s="9">
        <v>0.26</v>
      </c>
      <c r="E20" s="9">
        <f>+C20*(1-D20)</f>
        <v>2.479E-2</v>
      </c>
      <c r="F20" s="162">
        <f>+B20*E20</f>
        <v>1.01639E-2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</row>
    <row r="22" spans="1:6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62">
        <f>+F18+F20</f>
        <v>7.0579900000000001E-2</v>
      </c>
    </row>
    <row r="23" spans="1:6" ht="15.75">
      <c r="A23" s="24"/>
      <c r="B23" s="24"/>
      <c r="C23" s="24"/>
      <c r="D23" s="24"/>
      <c r="E23" s="24"/>
      <c r="F23" s="160"/>
    </row>
    <row r="24" spans="1:6" ht="15.75">
      <c r="E24" s="14" t="s">
        <v>20</v>
      </c>
      <c r="F24" s="162">
        <v>7.0599999999999996E-2</v>
      </c>
    </row>
  </sheetData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CCE7-0563-44A4-BC57-40B6D2D05729}">
  <sheetPr codeName="Sheet44">
    <pageSetUpPr fitToPage="1"/>
  </sheetPr>
  <dimension ref="A1:M69"/>
  <sheetViews>
    <sheetView topLeftCell="A2" zoomScale="80" zoomScaleNormal="80" zoomScalePageLayoutView="70" workbookViewId="0">
      <pane xSplit="1" topLeftCell="B1" activePane="topRight" state="frozen"/>
      <selection activeCell="L12" sqref="L12"/>
      <selection pane="topRight" activeCell="C17" sqref="C17"/>
    </sheetView>
  </sheetViews>
  <sheetFormatPr defaultRowHeight="15"/>
  <cols>
    <col min="1" max="1" width="54.140625" customWidth="1"/>
    <col min="2" max="2" width="11.5703125" bestFit="1" customWidth="1"/>
    <col min="3" max="3" width="20.42578125" bestFit="1" customWidth="1"/>
    <col min="4" max="4" width="25.5703125" bestFit="1" customWidth="1"/>
    <col min="5" max="5" width="28" customWidth="1"/>
    <col min="6" max="6" width="27.7109375" customWidth="1"/>
    <col min="7" max="7" width="25.140625" bestFit="1" customWidth="1"/>
    <col min="8" max="8" width="29" bestFit="1" customWidth="1"/>
    <col min="9" max="9" width="27.28515625" customWidth="1"/>
    <col min="10" max="10" width="30.85546875" customWidth="1"/>
    <col min="11" max="11" width="28.28515625" customWidth="1"/>
    <col min="12" max="12" width="25.85546875" bestFit="1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192" t="s">
        <v>1</v>
      </c>
    </row>
    <row r="3" spans="1:12">
      <c r="A3" s="190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178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114"/>
      <c r="B11" s="193"/>
      <c r="C11" s="36"/>
      <c r="D11" s="194" t="s">
        <v>24</v>
      </c>
      <c r="E11" s="37" t="s">
        <v>24</v>
      </c>
      <c r="F11" s="194" t="s">
        <v>24</v>
      </c>
      <c r="G11" s="36"/>
      <c r="H11" s="195" t="s">
        <v>23</v>
      </c>
      <c r="I11" s="36" t="s">
        <v>23</v>
      </c>
      <c r="J11" s="195" t="s">
        <v>23</v>
      </c>
    </row>
    <row r="12" spans="1:12" ht="15.75">
      <c r="A12" s="114" t="s">
        <v>6</v>
      </c>
      <c r="B12" s="193" t="s">
        <v>26</v>
      </c>
      <c r="C12" s="36" t="s">
        <v>27</v>
      </c>
      <c r="D12" s="194" t="s">
        <v>28</v>
      </c>
      <c r="E12" s="37" t="s">
        <v>28</v>
      </c>
      <c r="F12" s="194" t="s">
        <v>29</v>
      </c>
      <c r="G12" s="35" t="s">
        <v>23</v>
      </c>
      <c r="H12" s="193" t="s">
        <v>25</v>
      </c>
      <c r="I12" s="196" t="s">
        <v>31</v>
      </c>
      <c r="J12" s="197" t="s">
        <v>47</v>
      </c>
    </row>
    <row r="13" spans="1:12" ht="15.75">
      <c r="A13" s="114"/>
      <c r="B13" s="193" t="s">
        <v>34</v>
      </c>
      <c r="C13" s="36" t="s">
        <v>35</v>
      </c>
      <c r="D13" s="194" t="s">
        <v>36</v>
      </c>
      <c r="E13" s="37" t="s">
        <v>37</v>
      </c>
      <c r="F13" s="194" t="s">
        <v>28</v>
      </c>
      <c r="G13" s="35" t="s">
        <v>28</v>
      </c>
      <c r="H13" s="193" t="s">
        <v>30</v>
      </c>
      <c r="I13" s="198" t="s">
        <v>155</v>
      </c>
      <c r="J13" s="199" t="s">
        <v>155</v>
      </c>
    </row>
    <row r="14" spans="1:12" ht="16.5" thickBot="1">
      <c r="A14" s="116" t="s">
        <v>33</v>
      </c>
      <c r="B14" s="200" t="s">
        <v>6</v>
      </c>
      <c r="C14" s="39" t="s">
        <v>6</v>
      </c>
      <c r="D14" s="200" t="s">
        <v>6</v>
      </c>
      <c r="E14" s="39" t="s">
        <v>6</v>
      </c>
      <c r="F14" s="200" t="s">
        <v>6</v>
      </c>
      <c r="G14" s="39" t="s">
        <v>6</v>
      </c>
      <c r="H14" s="201" t="s">
        <v>38</v>
      </c>
      <c r="I14" s="40" t="s">
        <v>6</v>
      </c>
      <c r="J14" s="201" t="s">
        <v>6</v>
      </c>
    </row>
    <row r="15" spans="1:12" ht="15.75">
      <c r="A15" s="118" t="s">
        <v>40</v>
      </c>
      <c r="B15" s="202" t="s">
        <v>40</v>
      </c>
      <c r="C15" s="41" t="s">
        <v>40</v>
      </c>
      <c r="D15" s="202" t="s">
        <v>41</v>
      </c>
      <c r="E15" s="41" t="s">
        <v>41</v>
      </c>
      <c r="F15" s="202"/>
      <c r="G15" s="41" t="s">
        <v>40</v>
      </c>
      <c r="H15" s="202" t="s">
        <v>42</v>
      </c>
      <c r="I15" s="41" t="s">
        <v>42</v>
      </c>
      <c r="J15" s="202" t="s">
        <v>42</v>
      </c>
    </row>
    <row r="16" spans="1:12" ht="15.75">
      <c r="A16" s="114"/>
      <c r="B16" s="193"/>
      <c r="C16" s="36"/>
      <c r="D16" s="193"/>
      <c r="E16" s="36"/>
      <c r="F16" s="193"/>
      <c r="G16" s="36"/>
      <c r="H16" s="193"/>
      <c r="I16" s="42"/>
      <c r="J16" s="203"/>
    </row>
    <row r="17" spans="1:13" ht="15.75">
      <c r="A17" s="204" t="s">
        <v>179</v>
      </c>
      <c r="B17" s="205" t="s">
        <v>180</v>
      </c>
      <c r="C17" s="2" t="s">
        <v>181</v>
      </c>
      <c r="D17" s="206">
        <v>66.56</v>
      </c>
      <c r="E17" s="13">
        <v>65.95</v>
      </c>
      <c r="F17" s="207">
        <f>AVERAGE(D17,E17)</f>
        <v>66.254999999999995</v>
      </c>
      <c r="G17" s="13">
        <v>66.349999999999994</v>
      </c>
      <c r="H17" s="208">
        <v>53200000</v>
      </c>
      <c r="I17" s="208">
        <v>0</v>
      </c>
      <c r="J17" s="208">
        <f>1763200000+214200000</f>
        <v>1977400000</v>
      </c>
    </row>
    <row r="18" spans="1:13" ht="15.75">
      <c r="A18" s="204" t="s">
        <v>182</v>
      </c>
      <c r="B18" s="205" t="s">
        <v>183</v>
      </c>
      <c r="C18" s="2" t="s">
        <v>181</v>
      </c>
      <c r="D18" s="206">
        <v>61.75</v>
      </c>
      <c r="E18" s="13">
        <v>61.04</v>
      </c>
      <c r="F18" s="207">
        <f t="shared" ref="F18:F32" si="0">AVERAGE(D18,E18)</f>
        <v>61.394999999999996</v>
      </c>
      <c r="G18" s="13">
        <v>61.47</v>
      </c>
      <c r="H18" s="208">
        <v>250474529</v>
      </c>
      <c r="I18" s="45">
        <v>0</v>
      </c>
      <c r="J18" s="208">
        <f>6735000000+633000000</f>
        <v>7368000000</v>
      </c>
    </row>
    <row r="19" spans="1:13" ht="15.75">
      <c r="A19" s="204" t="s">
        <v>184</v>
      </c>
      <c r="B19" s="205" t="s">
        <v>185</v>
      </c>
      <c r="C19" s="2" t="s">
        <v>181</v>
      </c>
      <c r="D19" s="206">
        <v>89.46</v>
      </c>
      <c r="E19" s="13">
        <v>88.44</v>
      </c>
      <c r="F19" s="207">
        <f t="shared" si="0"/>
        <v>88.949999999999989</v>
      </c>
      <c r="G19" s="43">
        <v>89.01</v>
      </c>
      <c r="H19" s="208">
        <v>257700000</v>
      </c>
      <c r="I19" s="208">
        <v>0</v>
      </c>
      <c r="J19" s="208">
        <f>12562000000+505000000</f>
        <v>13067000000</v>
      </c>
    </row>
    <row r="20" spans="1:13" ht="15.75">
      <c r="A20" s="204" t="s">
        <v>186</v>
      </c>
      <c r="B20" s="205" t="s">
        <v>187</v>
      </c>
      <c r="C20" s="2" t="s">
        <v>181</v>
      </c>
      <c r="D20" s="206">
        <v>89.22</v>
      </c>
      <c r="E20" s="13">
        <v>88.3</v>
      </c>
      <c r="F20" s="207">
        <f t="shared" si="0"/>
        <v>88.759999999999991</v>
      </c>
      <c r="G20" s="13">
        <v>88.97</v>
      </c>
      <c r="H20" s="208">
        <f>516808354-20204160</f>
        <v>496604194</v>
      </c>
      <c r="I20" s="208">
        <v>0</v>
      </c>
      <c r="J20" s="208">
        <f>31300700000+2153800000</f>
        <v>33454500000</v>
      </c>
    </row>
    <row r="21" spans="1:13" ht="15.75">
      <c r="A21" s="209" t="s">
        <v>188</v>
      </c>
      <c r="B21" s="205" t="s">
        <v>189</v>
      </c>
      <c r="C21" s="2" t="s">
        <v>181</v>
      </c>
      <c r="D21" s="206">
        <v>28.01</v>
      </c>
      <c r="E21" s="13">
        <v>27.67</v>
      </c>
      <c r="F21" s="207">
        <f t="shared" si="0"/>
        <v>27.840000000000003</v>
      </c>
      <c r="G21" s="13">
        <v>27.91</v>
      </c>
      <c r="H21" s="208">
        <v>628923534</v>
      </c>
      <c r="I21" s="45">
        <v>790000000</v>
      </c>
      <c r="J21" s="208">
        <f>15558000000+220000000+308000000</f>
        <v>16086000000</v>
      </c>
    </row>
    <row r="22" spans="1:13" ht="15.75">
      <c r="A22" s="204" t="s">
        <v>190</v>
      </c>
      <c r="B22" s="205" t="s">
        <v>191</v>
      </c>
      <c r="C22" s="2" t="s">
        <v>181</v>
      </c>
      <c r="D22" s="206">
        <v>65.33</v>
      </c>
      <c r="E22" s="43">
        <v>64.64</v>
      </c>
      <c r="F22" s="207">
        <f t="shared" si="0"/>
        <v>64.984999999999999</v>
      </c>
      <c r="G22" s="43">
        <v>65.05</v>
      </c>
      <c r="H22" s="208">
        <v>289800000</v>
      </c>
      <c r="I22" s="45">
        <v>224000000</v>
      </c>
      <c r="J22" s="208">
        <f>12046000000+382000000+46000000</f>
        <v>12474000000</v>
      </c>
      <c r="M22" s="139" t="s">
        <v>6</v>
      </c>
    </row>
    <row r="23" spans="1:13" ht="15.75">
      <c r="A23" s="204" t="s">
        <v>192</v>
      </c>
      <c r="B23" s="205" t="s">
        <v>193</v>
      </c>
      <c r="C23" s="2" t="s">
        <v>181</v>
      </c>
      <c r="D23" s="207">
        <v>120.12</v>
      </c>
      <c r="E23" s="13">
        <v>118.63</v>
      </c>
      <c r="F23" s="207">
        <f t="shared" si="0"/>
        <v>119.375</v>
      </c>
      <c r="G23" s="43">
        <v>119.54</v>
      </c>
      <c r="H23" s="208">
        <v>193747509</v>
      </c>
      <c r="I23" s="45">
        <v>0</v>
      </c>
      <c r="J23" s="208">
        <f>14531000000+2874000000</f>
        <v>17405000000</v>
      </c>
    </row>
    <row r="24" spans="1:13" ht="15.75">
      <c r="A24" s="204" t="s">
        <v>194</v>
      </c>
      <c r="B24" s="205" t="s">
        <v>195</v>
      </c>
      <c r="C24" s="2" t="s">
        <v>181</v>
      </c>
      <c r="D24" s="207">
        <v>105.23</v>
      </c>
      <c r="E24" s="13">
        <v>104</v>
      </c>
      <c r="F24" s="207">
        <f t="shared" si="0"/>
        <v>104.61500000000001</v>
      </c>
      <c r="G24" s="13">
        <v>104.9</v>
      </c>
      <c r="H24" s="208">
        <v>769000000</v>
      </c>
      <c r="I24" s="45">
        <f>989000000+973000000</f>
        <v>1962000000</v>
      </c>
      <c r="J24" s="208">
        <f>60448000000+3387000000</f>
        <v>63835000000</v>
      </c>
    </row>
    <row r="25" spans="1:13" ht="15.75">
      <c r="A25" s="204" t="s">
        <v>196</v>
      </c>
      <c r="B25" s="205" t="s">
        <v>197</v>
      </c>
      <c r="C25" s="2" t="s">
        <v>181</v>
      </c>
      <c r="D25" s="206">
        <v>113.08</v>
      </c>
      <c r="E25" s="13">
        <v>110.78</v>
      </c>
      <c r="F25" s="207">
        <f t="shared" si="0"/>
        <v>111.93</v>
      </c>
      <c r="G25" s="13">
        <v>112.65</v>
      </c>
      <c r="H25" s="208">
        <f>271965510-69312326</f>
        <v>202653184</v>
      </c>
      <c r="I25" s="45">
        <v>0</v>
      </c>
      <c r="J25" s="208">
        <f>24841572000+1039329000</f>
        <v>25880901000</v>
      </c>
    </row>
    <row r="26" spans="1:13" ht="15.75">
      <c r="A26" s="204" t="s">
        <v>198</v>
      </c>
      <c r="B26" s="205" t="s">
        <v>199</v>
      </c>
      <c r="C26" s="2" t="s">
        <v>181</v>
      </c>
      <c r="D26" s="206">
        <v>41.75</v>
      </c>
      <c r="E26" s="13">
        <v>41.26</v>
      </c>
      <c r="F26" s="207">
        <f t="shared" si="0"/>
        <v>41.504999999999995</v>
      </c>
      <c r="G26" s="43">
        <v>41.59</v>
      </c>
      <c r="H26" s="208">
        <v>570261104</v>
      </c>
      <c r="I26" s="45">
        <v>0</v>
      </c>
      <c r="J26" s="208">
        <f>22248000000+1606000000</f>
        <v>23854000000</v>
      </c>
    </row>
    <row r="27" spans="1:13" ht="15.75">
      <c r="A27" s="204" t="s">
        <v>200</v>
      </c>
      <c r="B27" s="205" t="s">
        <v>201</v>
      </c>
      <c r="C27" s="2" t="s">
        <v>181</v>
      </c>
      <c r="D27" s="210">
        <v>82.55</v>
      </c>
      <c r="E27" s="43">
        <v>81.53</v>
      </c>
      <c r="F27" s="207">
        <f t="shared" si="0"/>
        <v>82.039999999999992</v>
      </c>
      <c r="G27" s="43">
        <v>82.25</v>
      </c>
      <c r="H27" s="208">
        <v>36163000</v>
      </c>
      <c r="I27" s="45">
        <v>0</v>
      </c>
      <c r="J27" s="208">
        <f>614211000</f>
        <v>614211000</v>
      </c>
    </row>
    <row r="28" spans="1:13" ht="15.75">
      <c r="A28" s="204" t="s">
        <v>202</v>
      </c>
      <c r="B28" s="205" t="s">
        <v>203</v>
      </c>
      <c r="C28" s="2" t="s">
        <v>181</v>
      </c>
      <c r="D28" s="206">
        <v>38.57</v>
      </c>
      <c r="E28" s="13">
        <v>38.18</v>
      </c>
      <c r="F28" s="207">
        <f t="shared" si="0"/>
        <v>38.375</v>
      </c>
      <c r="G28" s="13">
        <v>38.380000000000003</v>
      </c>
      <c r="H28" s="208">
        <v>200100000</v>
      </c>
      <c r="I28" s="45">
        <v>0</v>
      </c>
      <c r="J28" s="208">
        <v>4496400000</v>
      </c>
    </row>
    <row r="29" spans="1:13" ht="15.75">
      <c r="A29" s="204" t="s">
        <v>204</v>
      </c>
      <c r="B29" s="205" t="s">
        <v>205</v>
      </c>
      <c r="C29" s="2" t="s">
        <v>181</v>
      </c>
      <c r="D29" s="206">
        <v>71.709999999999994</v>
      </c>
      <c r="E29" s="43">
        <v>70.2</v>
      </c>
      <c r="F29" s="207">
        <f t="shared" si="0"/>
        <v>70.954999999999998</v>
      </c>
      <c r="G29" s="43">
        <v>71.42</v>
      </c>
      <c r="H29" s="208">
        <v>41551524</v>
      </c>
      <c r="I29" s="45">
        <v>0</v>
      </c>
      <c r="J29" s="208">
        <f>734014000+29983000</f>
        <v>763997000</v>
      </c>
    </row>
    <row r="30" spans="1:13" ht="15.75">
      <c r="A30" s="204" t="s">
        <v>206</v>
      </c>
      <c r="B30" s="205" t="s">
        <v>207</v>
      </c>
      <c r="C30" s="2" t="s">
        <v>181</v>
      </c>
      <c r="D30" s="206">
        <v>30.15</v>
      </c>
      <c r="E30" s="43">
        <v>29.82</v>
      </c>
      <c r="F30" s="207">
        <f t="shared" si="0"/>
        <v>29.984999999999999</v>
      </c>
      <c r="G30" s="43">
        <v>30.06</v>
      </c>
      <c r="H30" s="208">
        <v>735112000</v>
      </c>
      <c r="I30" s="45">
        <v>0</v>
      </c>
      <c r="J30" s="208">
        <f>10666000000+474000000</f>
        <v>11140000000</v>
      </c>
    </row>
    <row r="31" spans="1:13" ht="15.75">
      <c r="A31" s="204" t="s">
        <v>208</v>
      </c>
      <c r="B31" s="205" t="s">
        <v>209</v>
      </c>
      <c r="C31" s="2" t="s">
        <v>181</v>
      </c>
      <c r="D31" s="206">
        <v>68.88</v>
      </c>
      <c r="E31" s="43">
        <v>68.16</v>
      </c>
      <c r="F31" s="207">
        <f t="shared" si="0"/>
        <v>68.52</v>
      </c>
      <c r="G31" s="43">
        <v>68.58</v>
      </c>
      <c r="H31" s="208">
        <f>1100000000-1000000</f>
        <v>1099000000</v>
      </c>
      <c r="I31" s="45">
        <v>291000000</v>
      </c>
      <c r="J31" s="208">
        <f>2157000000+50120000000</f>
        <v>52277000000</v>
      </c>
    </row>
    <row r="32" spans="1:13" ht="16.5" thickBot="1">
      <c r="A32" s="211" t="s">
        <v>210</v>
      </c>
      <c r="B32" s="212" t="s">
        <v>211</v>
      </c>
      <c r="C32" s="213" t="s">
        <v>181</v>
      </c>
      <c r="D32" s="214">
        <v>97.5</v>
      </c>
      <c r="E32" s="213">
        <v>96.3</v>
      </c>
      <c r="F32" s="215">
        <f t="shared" si="0"/>
        <v>96.9</v>
      </c>
      <c r="G32" s="213">
        <v>97.07</v>
      </c>
      <c r="H32" s="216">
        <v>315434531</v>
      </c>
      <c r="I32" s="52">
        <f>30400000</f>
        <v>30400000</v>
      </c>
      <c r="J32" s="216">
        <f>13523700000+169400000</f>
        <v>13693100000</v>
      </c>
    </row>
    <row r="33" spans="1:12" ht="15.75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2" ht="15.75">
      <c r="A34" s="47"/>
      <c r="B34" s="47"/>
      <c r="C34" s="47"/>
      <c r="D34" s="47"/>
      <c r="E34" s="47"/>
      <c r="F34" s="47"/>
      <c r="G34" s="47"/>
      <c r="H34" s="47"/>
      <c r="I34" s="47"/>
      <c r="J34" s="47" t="s">
        <v>6</v>
      </c>
    </row>
    <row r="35" spans="1:12" ht="16.5" thickBot="1">
      <c r="A35" s="217" t="s">
        <v>6</v>
      </c>
      <c r="B35" s="46"/>
      <c r="C35" s="46"/>
      <c r="D35" s="46"/>
      <c r="E35" s="46"/>
      <c r="F35" s="5"/>
      <c r="G35" s="46"/>
      <c r="H35" s="46"/>
      <c r="I35" s="46"/>
      <c r="J35" s="47"/>
      <c r="K35" s="47"/>
      <c r="L35" s="47"/>
    </row>
    <row r="36" spans="1:12" ht="15.75">
      <c r="A36" s="218"/>
      <c r="B36" s="219"/>
      <c r="C36" s="219"/>
      <c r="D36" s="219"/>
      <c r="E36" s="112" t="s">
        <v>6</v>
      </c>
      <c r="F36" s="220"/>
      <c r="G36" s="219"/>
      <c r="H36" s="219"/>
      <c r="I36" s="221"/>
      <c r="J36" s="47"/>
      <c r="K36" s="47"/>
      <c r="L36" s="47"/>
    </row>
    <row r="37" spans="1:12" ht="15.75">
      <c r="A37" s="114"/>
      <c r="B37" s="36"/>
      <c r="C37" s="36"/>
      <c r="D37" s="35" t="s">
        <v>23</v>
      </c>
      <c r="E37" s="36" t="s">
        <v>23</v>
      </c>
      <c r="F37" s="35" t="s">
        <v>23</v>
      </c>
      <c r="G37" s="35" t="s">
        <v>23</v>
      </c>
      <c r="H37" s="35" t="s">
        <v>23</v>
      </c>
      <c r="I37" s="222" t="s">
        <v>23</v>
      </c>
      <c r="J37" s="35" t="s">
        <v>6</v>
      </c>
      <c r="L37" s="2"/>
    </row>
    <row r="38" spans="1:12" ht="15.75">
      <c r="A38" s="114" t="s">
        <v>6</v>
      </c>
      <c r="B38" s="36" t="s">
        <v>26</v>
      </c>
      <c r="C38" s="36" t="s">
        <v>27</v>
      </c>
      <c r="D38" s="36" t="s">
        <v>25</v>
      </c>
      <c r="E38" s="38" t="s">
        <v>212</v>
      </c>
      <c r="F38" s="36" t="s">
        <v>213</v>
      </c>
      <c r="G38" s="38" t="s">
        <v>48</v>
      </c>
      <c r="H38" s="38" t="s">
        <v>49</v>
      </c>
      <c r="I38" s="115" t="s">
        <v>214</v>
      </c>
      <c r="J38" s="38" t="s">
        <v>6</v>
      </c>
      <c r="L38" s="2"/>
    </row>
    <row r="39" spans="1:12" ht="16.5" thickBot="1">
      <c r="A39" s="116" t="s">
        <v>33</v>
      </c>
      <c r="B39" s="39" t="s">
        <v>34</v>
      </c>
      <c r="C39" s="39" t="s">
        <v>35</v>
      </c>
      <c r="D39" s="39" t="s">
        <v>51</v>
      </c>
      <c r="E39" s="39" t="s">
        <v>51</v>
      </c>
      <c r="F39" s="39" t="s">
        <v>51</v>
      </c>
      <c r="G39" s="39" t="s">
        <v>52</v>
      </c>
      <c r="H39" s="39" t="s">
        <v>6</v>
      </c>
      <c r="I39" s="117" t="s">
        <v>6</v>
      </c>
      <c r="J39" s="36" t="s">
        <v>6</v>
      </c>
      <c r="L39" s="24"/>
    </row>
    <row r="40" spans="1:12" ht="15.75">
      <c r="A40" s="118" t="s">
        <v>40</v>
      </c>
      <c r="B40" s="41" t="s">
        <v>40</v>
      </c>
      <c r="C40" s="41" t="s">
        <v>40</v>
      </c>
      <c r="D40" s="41" t="s">
        <v>53</v>
      </c>
      <c r="E40" s="41" t="s">
        <v>42</v>
      </c>
      <c r="F40" s="41" t="s">
        <v>42</v>
      </c>
      <c r="G40" s="41" t="s">
        <v>53</v>
      </c>
      <c r="H40" s="41" t="s">
        <v>53</v>
      </c>
      <c r="I40" s="119" t="s">
        <v>53</v>
      </c>
      <c r="J40" s="36"/>
      <c r="L40" s="2"/>
    </row>
    <row r="41" spans="1:12" ht="15.75">
      <c r="A41" s="114"/>
      <c r="B41" s="36"/>
      <c r="C41" s="36"/>
      <c r="D41" s="47"/>
      <c r="E41" s="47"/>
      <c r="F41" s="47"/>
      <c r="G41" s="42"/>
      <c r="H41" s="42"/>
      <c r="I41" s="120"/>
      <c r="J41" s="42" t="s">
        <v>6</v>
      </c>
      <c r="L41" s="47"/>
    </row>
    <row r="42" spans="1:12" ht="15.75">
      <c r="A42" s="204" t="str">
        <f>+A17</f>
        <v>Allete</v>
      </c>
      <c r="B42" s="2" t="str">
        <f>+B17</f>
        <v>ALE</v>
      </c>
      <c r="C42" s="2" t="str">
        <f>+C17</f>
        <v>Electric Utility</v>
      </c>
      <c r="D42" s="123">
        <f>(+H17)*G17</f>
        <v>3529819999.9999995</v>
      </c>
      <c r="E42" s="223">
        <f>(1/1)*I17</f>
        <v>0</v>
      </c>
      <c r="F42" s="123">
        <f>J17*(2192.6/1986.4)</f>
        <v>2182665747.0801449</v>
      </c>
      <c r="G42" s="45">
        <f>+D42+E42+F42</f>
        <v>5712485747.0801449</v>
      </c>
      <c r="H42" s="224">
        <f t="shared" ref="H42:H57" si="1">(+D42)/G42</f>
        <v>0.61791313909259493</v>
      </c>
      <c r="I42" s="225">
        <f>(+E42+F42)/G42</f>
        <v>0.38208686090740501</v>
      </c>
      <c r="J42" s="140" t="s">
        <v>6</v>
      </c>
      <c r="L42" s="47"/>
    </row>
    <row r="43" spans="1:12" ht="15.75">
      <c r="A43" s="204" t="str">
        <f t="shared" ref="A43:C57" si="2">+A18</f>
        <v>Alliant Energy</v>
      </c>
      <c r="B43" s="2" t="str">
        <f t="shared" si="2"/>
        <v>LNT</v>
      </c>
      <c r="C43" s="2" t="str">
        <f t="shared" si="2"/>
        <v>Electric Utility</v>
      </c>
      <c r="D43" s="123">
        <f t="shared" ref="D43:D57" si="3">(+H18)*G18</f>
        <v>15396669297.629999</v>
      </c>
      <c r="E43" s="123">
        <f>(194.8/200)*I18</f>
        <v>0</v>
      </c>
      <c r="F43" s="123">
        <f>J18*(8330/7368)</f>
        <v>8330000000</v>
      </c>
      <c r="G43" s="45">
        <f t="shared" ref="G43:G57" si="4">+D43+E43+F43</f>
        <v>23726669297.629997</v>
      </c>
      <c r="H43" s="224">
        <f t="shared" si="1"/>
        <v>0.64891827438956795</v>
      </c>
      <c r="I43" s="225">
        <f t="shared" ref="I43:I57" si="5">(+E43+F43)/G43</f>
        <v>0.35108172561043216</v>
      </c>
      <c r="J43" s="140" t="s">
        <v>6</v>
      </c>
      <c r="L43" s="47"/>
    </row>
    <row r="44" spans="1:12" ht="15.75">
      <c r="A44" s="204" t="str">
        <f t="shared" si="2"/>
        <v>AMEREN</v>
      </c>
      <c r="B44" s="2" t="str">
        <f t="shared" si="2"/>
        <v>AEE</v>
      </c>
      <c r="C44" s="2" t="str">
        <f t="shared" si="2"/>
        <v>Electric Utility</v>
      </c>
      <c r="D44" s="123">
        <f t="shared" si="3"/>
        <v>22937877000</v>
      </c>
      <c r="E44" s="223">
        <f>(1/1)*I19</f>
        <v>0</v>
      </c>
      <c r="F44" s="123">
        <f>J19*(14521/13067)</f>
        <v>14520999999.999998</v>
      </c>
      <c r="G44" s="45">
        <f t="shared" si="4"/>
        <v>37458877000</v>
      </c>
      <c r="H44" s="224">
        <f t="shared" si="1"/>
        <v>0.61234822923281973</v>
      </c>
      <c r="I44" s="225">
        <f t="shared" si="5"/>
        <v>0.38765177076718016</v>
      </c>
      <c r="J44" s="140" t="s">
        <v>6</v>
      </c>
      <c r="L44" s="47"/>
    </row>
    <row r="45" spans="1:12" ht="15.75">
      <c r="A45" s="204" t="str">
        <f t="shared" si="2"/>
        <v>American Electric Power</v>
      </c>
      <c r="B45" s="2" t="str">
        <f t="shared" si="2"/>
        <v>AEP</v>
      </c>
      <c r="C45" s="2" t="str">
        <f t="shared" si="2"/>
        <v>Electric Utility</v>
      </c>
      <c r="D45" s="123">
        <f t="shared" si="3"/>
        <v>44182875140.18</v>
      </c>
      <c r="E45" s="223">
        <f t="shared" ref="E45:E55" si="6">(1/1)*I20</f>
        <v>0</v>
      </c>
      <c r="F45" s="123">
        <f>J20*((37564.7/33454.5))</f>
        <v>37564700000</v>
      </c>
      <c r="G45" s="45">
        <f t="shared" si="4"/>
        <v>81747575140.179993</v>
      </c>
      <c r="H45" s="224">
        <f t="shared" si="1"/>
        <v>0.54047933610771459</v>
      </c>
      <c r="I45" s="225">
        <f t="shared" si="5"/>
        <v>0.45952066389228546</v>
      </c>
      <c r="J45" s="140" t="s">
        <v>6</v>
      </c>
      <c r="L45" s="47"/>
    </row>
    <row r="46" spans="1:12" ht="15.75">
      <c r="A46" s="204" t="str">
        <f t="shared" si="2"/>
        <v>Centerpoint Energy</v>
      </c>
      <c r="B46" s="2" t="str">
        <f t="shared" si="2"/>
        <v>CNP</v>
      </c>
      <c r="C46" s="2" t="str">
        <f t="shared" si="2"/>
        <v>Electric Utility</v>
      </c>
      <c r="D46" s="123">
        <f t="shared" si="3"/>
        <v>17553255833.939999</v>
      </c>
      <c r="E46" s="123">
        <f>(1/1)*I21</f>
        <v>790000000</v>
      </c>
      <c r="F46" s="45">
        <f>J21*(17385/16086)</f>
        <v>17385000000</v>
      </c>
      <c r="G46" s="45">
        <f t="shared" si="4"/>
        <v>35728255833.940002</v>
      </c>
      <c r="H46" s="224">
        <f t="shared" si="1"/>
        <v>0.49129898519326293</v>
      </c>
      <c r="I46" s="225">
        <f t="shared" si="5"/>
        <v>0.50870101480673702</v>
      </c>
      <c r="J46" s="140"/>
      <c r="L46" s="47"/>
    </row>
    <row r="47" spans="1:12" ht="15.75">
      <c r="A47" s="204" t="str">
        <f t="shared" si="2"/>
        <v>CMS Energy</v>
      </c>
      <c r="B47" s="2" t="str">
        <f t="shared" si="2"/>
        <v>CMS</v>
      </c>
      <c r="C47" s="2" t="str">
        <f t="shared" si="2"/>
        <v>Electric Utility</v>
      </c>
      <c r="D47" s="123">
        <f t="shared" si="3"/>
        <v>18851490000</v>
      </c>
      <c r="E47" s="123">
        <f t="shared" si="6"/>
        <v>224000000</v>
      </c>
      <c r="F47" s="45">
        <f>J22*(13800/12419)</f>
        <v>13861116031.886625</v>
      </c>
      <c r="G47" s="45">
        <f t="shared" si="4"/>
        <v>32936606031.886627</v>
      </c>
      <c r="H47" s="224">
        <f t="shared" si="1"/>
        <v>0.57235678690601799</v>
      </c>
      <c r="I47" s="225">
        <f t="shared" si="5"/>
        <v>0.42764321309398201</v>
      </c>
      <c r="J47" s="140"/>
      <c r="L47" s="47"/>
    </row>
    <row r="48" spans="1:12" ht="15.75">
      <c r="A48" s="204" t="str">
        <f t="shared" si="2"/>
        <v>DTE Energy</v>
      </c>
      <c r="B48" s="2" t="str">
        <f t="shared" si="2"/>
        <v>DTE</v>
      </c>
      <c r="C48" s="2" t="str">
        <f t="shared" si="2"/>
        <v>Electric Utility</v>
      </c>
      <c r="D48" s="123">
        <f t="shared" si="3"/>
        <v>23160577225.860001</v>
      </c>
      <c r="E48" s="123">
        <f t="shared" si="6"/>
        <v>0</v>
      </c>
      <c r="F48" s="123">
        <f>J23*((2284+15425+1207)/17378)</f>
        <v>18945389573.023361</v>
      </c>
      <c r="G48" s="45">
        <f t="shared" si="4"/>
        <v>42105966798.883362</v>
      </c>
      <c r="H48" s="224">
        <f t="shared" si="1"/>
        <v>0.55005451689270346</v>
      </c>
      <c r="I48" s="225">
        <f t="shared" si="5"/>
        <v>0.44994548310729648</v>
      </c>
      <c r="J48" s="140" t="s">
        <v>6</v>
      </c>
      <c r="L48" s="47"/>
    </row>
    <row r="49" spans="1:12" ht="15.75">
      <c r="A49" s="204" t="str">
        <f t="shared" si="2"/>
        <v>Duke Energy</v>
      </c>
      <c r="B49" s="2" t="s">
        <v>195</v>
      </c>
      <c r="C49" s="2" t="str">
        <f>+C24</f>
        <v>Electric Utility</v>
      </c>
      <c r="D49" s="123">
        <f t="shared" si="3"/>
        <v>80668100000</v>
      </c>
      <c r="E49" s="123">
        <f t="shared" si="6"/>
        <v>1962000000</v>
      </c>
      <c r="F49" s="123">
        <f>J24*(69683/63835)</f>
        <v>69683000000</v>
      </c>
      <c r="G49" s="45">
        <f t="shared" si="4"/>
        <v>152313100000</v>
      </c>
      <c r="H49" s="224">
        <f t="shared" si="1"/>
        <v>0.52962023621080523</v>
      </c>
      <c r="I49" s="225">
        <f t="shared" si="5"/>
        <v>0.47037976378919477</v>
      </c>
      <c r="J49" s="140"/>
      <c r="L49" s="47"/>
    </row>
    <row r="50" spans="1:12" ht="15.75">
      <c r="A50" s="204" t="str">
        <f t="shared" si="2"/>
        <v>Entergy Corp</v>
      </c>
      <c r="B50" s="2" t="s">
        <v>197</v>
      </c>
      <c r="C50" s="2" t="str">
        <f>+C25</f>
        <v>Electric Utility</v>
      </c>
      <c r="D50" s="123">
        <f t="shared" si="3"/>
        <v>22828881177.600002</v>
      </c>
      <c r="E50" s="123">
        <f t="shared" si="6"/>
        <v>0</v>
      </c>
      <c r="F50" s="123">
        <v>27061171000</v>
      </c>
      <c r="G50" s="45">
        <f t="shared" si="4"/>
        <v>49890052177.600006</v>
      </c>
      <c r="H50" s="224">
        <f t="shared" si="1"/>
        <v>0.45758383046650486</v>
      </c>
      <c r="I50" s="225">
        <f t="shared" si="5"/>
        <v>0.54241616953349503</v>
      </c>
      <c r="J50" s="140"/>
      <c r="L50" s="47"/>
    </row>
    <row r="51" spans="1:12" ht="15.75">
      <c r="A51" s="204" t="str">
        <f t="shared" si="2"/>
        <v>FirstEnergy Corp</v>
      </c>
      <c r="B51" s="2" t="s">
        <v>199</v>
      </c>
      <c r="C51" s="2" t="s">
        <v>181</v>
      </c>
      <c r="D51" s="123">
        <f t="shared" si="3"/>
        <v>23717159315.360001</v>
      </c>
      <c r="E51" s="123">
        <f t="shared" si="6"/>
        <v>0</v>
      </c>
      <c r="F51" s="123">
        <f>J26*(27043/23946)</f>
        <v>26939101394.804977</v>
      </c>
      <c r="G51" s="45">
        <f t="shared" si="4"/>
        <v>50656260710.164978</v>
      </c>
      <c r="H51" s="224">
        <f t="shared" si="1"/>
        <v>0.46819798743259344</v>
      </c>
      <c r="I51" s="225">
        <f t="shared" si="5"/>
        <v>0.53180201256740656</v>
      </c>
      <c r="J51" s="140"/>
      <c r="L51" s="47"/>
    </row>
    <row r="52" spans="1:12" ht="15.75">
      <c r="A52" s="204" t="str">
        <f t="shared" si="2"/>
        <v>MGE Energy</v>
      </c>
      <c r="B52" s="2" t="str">
        <f t="shared" si="2"/>
        <v>MGEE</v>
      </c>
      <c r="C52" s="2" t="str">
        <f t="shared" si="2"/>
        <v>Electric Utility</v>
      </c>
      <c r="D52" s="123">
        <f t="shared" si="3"/>
        <v>2974406750</v>
      </c>
      <c r="E52" s="123">
        <f t="shared" si="6"/>
        <v>0</v>
      </c>
      <c r="F52" s="123">
        <f>J27*(729914/623449)</f>
        <v>719098447.27315295</v>
      </c>
      <c r="G52" s="45">
        <f>+D52+E52+F52</f>
        <v>3693505197.2731528</v>
      </c>
      <c r="H52" s="224">
        <f t="shared" si="1"/>
        <v>0.80530731409176026</v>
      </c>
      <c r="I52" s="225">
        <f t="shared" si="5"/>
        <v>0.19469268590823974</v>
      </c>
      <c r="J52" s="140" t="s">
        <v>6</v>
      </c>
      <c r="L52" s="47"/>
    </row>
    <row r="53" spans="1:12" ht="15.75">
      <c r="A53" s="204" t="str">
        <f t="shared" si="2"/>
        <v>OGE Energy Corp.</v>
      </c>
      <c r="B53" s="2" t="str">
        <f t="shared" si="2"/>
        <v>OGE</v>
      </c>
      <c r="C53" s="2" t="str">
        <f t="shared" si="2"/>
        <v>Electric Utility</v>
      </c>
      <c r="D53" s="123">
        <f t="shared" si="3"/>
        <v>7679838000.000001</v>
      </c>
      <c r="E53" s="123">
        <f t="shared" si="6"/>
        <v>0</v>
      </c>
      <c r="F53" s="123">
        <f>J28*((497.8+4460.2+135.4+10)/(499.9+3851.8+135.4+9.3))</f>
        <v>5103400000</v>
      </c>
      <c r="G53" s="45">
        <f t="shared" si="4"/>
        <v>12783238000</v>
      </c>
      <c r="H53" s="224">
        <f t="shared" si="1"/>
        <v>0.60077407617694367</v>
      </c>
      <c r="I53" s="225">
        <f t="shared" si="5"/>
        <v>0.39922592382305644</v>
      </c>
      <c r="J53" s="140" t="s">
        <v>6</v>
      </c>
      <c r="L53" s="47"/>
    </row>
    <row r="54" spans="1:12" ht="15.75">
      <c r="A54" s="204" t="str">
        <f t="shared" si="2"/>
        <v>Otter Tail Corp</v>
      </c>
      <c r="B54" s="2" t="str">
        <f t="shared" si="2"/>
        <v>OTTR</v>
      </c>
      <c r="C54" s="2" t="str">
        <f t="shared" si="2"/>
        <v>Electric Utility</v>
      </c>
      <c r="D54" s="123">
        <f t="shared" si="3"/>
        <v>2967609844.0799999</v>
      </c>
      <c r="E54" s="123">
        <f t="shared" si="6"/>
        <v>0</v>
      </c>
      <c r="F54" s="123">
        <f>J29*(878272/763997)</f>
        <v>878272000</v>
      </c>
      <c r="G54" s="45">
        <f t="shared" si="4"/>
        <v>3845881844.0799999</v>
      </c>
      <c r="H54" s="224">
        <f t="shared" si="1"/>
        <v>0.7716331297718021</v>
      </c>
      <c r="I54" s="225">
        <f t="shared" si="5"/>
        <v>0.22836687022819796</v>
      </c>
      <c r="J54" s="140" t="s">
        <v>6</v>
      </c>
      <c r="L54" s="47"/>
    </row>
    <row r="55" spans="1:12" ht="15.75">
      <c r="A55" s="204" t="str">
        <f t="shared" si="2"/>
        <v>PPL Corporation</v>
      </c>
      <c r="B55" s="2" t="s">
        <v>207</v>
      </c>
      <c r="C55" s="2" t="str">
        <f>+C30</f>
        <v>Electric Utility</v>
      </c>
      <c r="D55" s="123">
        <f t="shared" si="3"/>
        <v>22097466720</v>
      </c>
      <c r="E55" s="123">
        <f t="shared" si="6"/>
        <v>0</v>
      </c>
      <c r="F55" s="123">
        <f>J30*(12955/11140)</f>
        <v>12955000000</v>
      </c>
      <c r="G55" s="45">
        <f t="shared" si="4"/>
        <v>35052466720</v>
      </c>
      <c r="H55" s="224">
        <f t="shared" si="1"/>
        <v>0.6304111746689649</v>
      </c>
      <c r="I55" s="225">
        <f t="shared" si="5"/>
        <v>0.3695888253310351</v>
      </c>
      <c r="J55" s="140"/>
      <c r="L55" s="47"/>
    </row>
    <row r="56" spans="1:12" ht="15.75">
      <c r="A56" s="204" t="str">
        <f t="shared" si="2"/>
        <v>Southern</v>
      </c>
      <c r="B56" s="2" t="s">
        <v>209</v>
      </c>
      <c r="C56" s="2" t="str">
        <f>+C31</f>
        <v>Electric Utility</v>
      </c>
      <c r="D56" s="123">
        <f t="shared" si="3"/>
        <v>75369420000</v>
      </c>
      <c r="E56" s="123">
        <f>(1.028554553)*I31</f>
        <v>299309374.92299998</v>
      </c>
      <c r="F56" s="123">
        <f>J31*(57.1/52.1)</f>
        <v>57293986564.299423</v>
      </c>
      <c r="G56" s="45">
        <f t="shared" si="4"/>
        <v>132962715939.22243</v>
      </c>
      <c r="H56" s="224">
        <f t="shared" si="1"/>
        <v>0.56684627316466329</v>
      </c>
      <c r="I56" s="225">
        <f t="shared" si="5"/>
        <v>0.43315372683533671</v>
      </c>
      <c r="J56" s="140"/>
      <c r="L56" s="47"/>
    </row>
    <row r="57" spans="1:12" ht="15.75">
      <c r="A57" s="204" t="str">
        <f t="shared" si="2"/>
        <v>WEC Energy Group</v>
      </c>
      <c r="B57" s="2" t="str">
        <f t="shared" si="2"/>
        <v>WEC</v>
      </c>
      <c r="C57" s="2" t="str">
        <f t="shared" si="2"/>
        <v>Electric Utility</v>
      </c>
      <c r="D57" s="123">
        <f t="shared" si="3"/>
        <v>30619229924.169998</v>
      </c>
      <c r="E57" s="123">
        <f>(1/1)*I32</f>
        <v>30400000</v>
      </c>
      <c r="F57" s="123">
        <f>J32*(14819.4/13563.4)</f>
        <v>14961110498.842474</v>
      </c>
      <c r="G57" s="45">
        <f t="shared" si="4"/>
        <v>45610740423.012474</v>
      </c>
      <c r="H57" s="224">
        <f t="shared" si="1"/>
        <v>0.67131622157840154</v>
      </c>
      <c r="I57" s="225">
        <f t="shared" si="5"/>
        <v>0.3286837784215984</v>
      </c>
    </row>
    <row r="58" spans="1:12" ht="16.5" thickBot="1">
      <c r="A58" s="226"/>
      <c r="B58" s="46"/>
      <c r="C58" s="46"/>
      <c r="D58" s="46"/>
      <c r="E58" s="46"/>
      <c r="F58" s="46"/>
      <c r="G58" s="46"/>
      <c r="H58" s="46"/>
      <c r="I58" s="227"/>
    </row>
    <row r="60" spans="1:12" ht="15.75">
      <c r="E60" t="s">
        <v>6</v>
      </c>
      <c r="J60" s="140" t="s">
        <v>6</v>
      </c>
    </row>
    <row r="61" spans="1:12" ht="15.75">
      <c r="C61" s="56" t="s">
        <v>6</v>
      </c>
      <c r="D61" s="77" t="s">
        <v>6</v>
      </c>
      <c r="E61" s="77"/>
      <c r="F61" t="s">
        <v>6</v>
      </c>
      <c r="G61" s="77" t="s">
        <v>54</v>
      </c>
      <c r="H61" s="54" t="s">
        <v>215</v>
      </c>
      <c r="I61" s="54" t="s">
        <v>216</v>
      </c>
      <c r="J61" s="54" t="s">
        <v>6</v>
      </c>
    </row>
    <row r="62" spans="1:12" ht="15.75">
      <c r="C62" s="56" t="s">
        <v>6</v>
      </c>
      <c r="D62" s="57" t="s">
        <v>6</v>
      </c>
      <c r="E62" s="57"/>
      <c r="F62" t="s">
        <v>6</v>
      </c>
      <c r="G62" s="77" t="s">
        <v>58</v>
      </c>
      <c r="H62" s="228">
        <f>MEDIAN(H42:H57)</f>
        <v>0.58656543154148078</v>
      </c>
      <c r="I62" s="11">
        <f>MEDIAN(I42:I57)</f>
        <v>0.41343456845851922</v>
      </c>
      <c r="J62" s="15" t="s">
        <v>6</v>
      </c>
    </row>
    <row r="63" spans="1:12" ht="15.75">
      <c r="C63" s="56"/>
      <c r="D63" s="229"/>
      <c r="E63" s="57"/>
      <c r="F63" t="s">
        <v>6</v>
      </c>
      <c r="G63" s="77" t="s">
        <v>29</v>
      </c>
      <c r="H63" s="228">
        <f>AVERAGE(H42:H57)</f>
        <v>0.59594121946107004</v>
      </c>
      <c r="I63" s="11">
        <f>AVERAGE(I42:I57)</f>
        <v>0.40405878053892996</v>
      </c>
      <c r="J63" s="15" t="s">
        <v>6</v>
      </c>
    </row>
    <row r="64" spans="1:12" ht="15.75">
      <c r="E64" s="57"/>
      <c r="H64" s="24"/>
      <c r="I64" s="24"/>
      <c r="J64" s="24" t="s">
        <v>6</v>
      </c>
    </row>
    <row r="65" spans="3:10" ht="21">
      <c r="E65" s="57"/>
      <c r="G65" s="58" t="s">
        <v>20</v>
      </c>
      <c r="H65" s="230">
        <v>0.59</v>
      </c>
      <c r="I65" s="59">
        <v>0.41</v>
      </c>
      <c r="J65" s="231" t="s">
        <v>6</v>
      </c>
    </row>
    <row r="66" spans="3:10" ht="15.75">
      <c r="C66" s="56"/>
      <c r="D66" s="232"/>
      <c r="E66" s="57"/>
      <c r="I66" s="24"/>
      <c r="J66" s="24" t="s">
        <v>6</v>
      </c>
    </row>
    <row r="67" spans="3:10">
      <c r="C67" s="56"/>
      <c r="E67" s="57"/>
    </row>
    <row r="68" spans="3:10">
      <c r="C68" s="56"/>
      <c r="D68" s="232"/>
      <c r="E68" s="57"/>
    </row>
    <row r="69" spans="3:10">
      <c r="C69" s="56"/>
      <c r="D69" s="232"/>
      <c r="E69" s="57"/>
    </row>
  </sheetData>
  <pageMargins left="0.25" right="0.25" top="0.75" bottom="0.75" header="0.3" footer="0.3"/>
  <pageSetup scale="41" orientation="landscape" r:id="rId1"/>
  <rowBreaks count="2" manualBreakCount="2">
    <brk id="65" max="10" man="1"/>
    <brk id="69" max="10" man="1"/>
  </rowBreaks>
  <colBreaks count="1" manualBreakCount="1">
    <brk id="11" max="7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1F81-740B-428B-B35A-3568FAF5BCAB}">
  <sheetPr codeName="Sheet4">
    <pageSetUpPr fitToPage="1"/>
  </sheetPr>
  <dimension ref="A1:J17"/>
  <sheetViews>
    <sheetView zoomScaleNormal="100" workbookViewId="0">
      <selection activeCell="A13" sqref="A13:XFD13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64</v>
      </c>
    </row>
    <row r="4" spans="1:10">
      <c r="F4" s="4" t="s">
        <v>6</v>
      </c>
    </row>
    <row r="5" spans="1:10" ht="15.75">
      <c r="A5" s="66" t="s">
        <v>65</v>
      </c>
    </row>
    <row r="6" spans="1:10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6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</row>
    <row r="11" spans="1:10">
      <c r="A11" s="22" t="s">
        <v>43</v>
      </c>
      <c r="B11" s="3" t="s">
        <v>44</v>
      </c>
      <c r="C11" s="3" t="s">
        <v>76</v>
      </c>
      <c r="D11" s="68">
        <v>1.6</v>
      </c>
      <c r="E11" s="69">
        <v>0</v>
      </c>
      <c r="F11" s="70" t="s">
        <v>77</v>
      </c>
      <c r="G11" s="68" t="s">
        <v>78</v>
      </c>
      <c r="H11" s="71" t="s">
        <v>79</v>
      </c>
      <c r="I11" s="72">
        <v>6.83E-2</v>
      </c>
    </row>
    <row r="12" spans="1:10" ht="15.75" thickBot="1">
      <c r="A12" s="73" t="s">
        <v>6</v>
      </c>
      <c r="B12" s="74" t="s">
        <v>6</v>
      </c>
      <c r="C12" s="74" t="s">
        <v>6</v>
      </c>
      <c r="D12" s="74" t="s">
        <v>6</v>
      </c>
      <c r="E12" s="75" t="s">
        <v>6</v>
      </c>
      <c r="F12" s="74" t="s">
        <v>6</v>
      </c>
      <c r="G12" s="74" t="s">
        <v>6</v>
      </c>
      <c r="H12" s="75" t="s">
        <v>6</v>
      </c>
      <c r="I12" s="76"/>
    </row>
    <row r="13" spans="1:10" ht="15.75" thickTop="1">
      <c r="C13" s="77"/>
      <c r="D13" s="77"/>
      <c r="E13" s="77"/>
      <c r="F13" s="70"/>
      <c r="G13" s="68"/>
      <c r="H13" s="3"/>
      <c r="I13" s="77"/>
    </row>
    <row r="14" spans="1:10">
      <c r="C14" s="77" t="s">
        <v>58</v>
      </c>
      <c r="D14" s="78">
        <f>MEDIAN(D11:D11)</f>
        <v>1.6</v>
      </c>
      <c r="E14" s="79">
        <f>MEDIAN(E11:E11)</f>
        <v>0</v>
      </c>
      <c r="F14" s="70" t="s">
        <v>80</v>
      </c>
      <c r="G14" s="68" t="s">
        <v>6</v>
      </c>
      <c r="H14" s="3" t="s">
        <v>81</v>
      </c>
      <c r="I14" s="79">
        <f>MEDIAN(I11:I11)</f>
        <v>6.83E-2</v>
      </c>
    </row>
    <row r="15" spans="1:10">
      <c r="C15" s="77" t="s">
        <v>29</v>
      </c>
      <c r="D15" s="80">
        <f>AVERAGE(D11:D11)</f>
        <v>1.6</v>
      </c>
      <c r="E15" s="81">
        <f>AVERAGE(E11:E11)</f>
        <v>0</v>
      </c>
      <c r="I15" s="81">
        <f>AVERAGE(I11:I11)</f>
        <v>6.83E-2</v>
      </c>
    </row>
    <row r="16" spans="1:10">
      <c r="J16" s="82"/>
    </row>
    <row r="17" spans="8:10" ht="21">
      <c r="H17" s="58" t="s">
        <v>82</v>
      </c>
      <c r="I17" s="83">
        <v>6.83E-2</v>
      </c>
      <c r="J17" s="8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BB1E0-7B46-4DF6-8AB6-CAB1A13AA481}">
  <sheetPr codeName="Sheet45"/>
  <dimension ref="A1:K33"/>
  <sheetViews>
    <sheetView zoomScale="90" zoomScaleNormal="90" workbookViewId="0">
      <selection activeCell="L12" sqref="L12"/>
    </sheetView>
  </sheetViews>
  <sheetFormatPr defaultRowHeight="15"/>
  <cols>
    <col min="1" max="1" width="45.140625" customWidth="1"/>
    <col min="2" max="2" width="10.85546875" bestFit="1" customWidth="1"/>
    <col min="3" max="3" width="19.140625" bestFit="1" customWidth="1"/>
    <col min="4" max="5" width="19.140625" customWidth="1"/>
    <col min="6" max="6" width="13.7109375" customWidth="1"/>
    <col min="7" max="7" width="13.85546875" customWidth="1"/>
    <col min="8" max="8" width="17.140625" customWidth="1"/>
    <col min="9" max="9" width="17.28515625" customWidth="1"/>
    <col min="10" max="11" width="14.140625" bestFit="1" customWidth="1"/>
  </cols>
  <sheetData>
    <row r="1" spans="1:10" ht="21">
      <c r="A1" s="23" t="s">
        <v>0</v>
      </c>
    </row>
    <row r="2" spans="1:10" ht="15.75">
      <c r="A2" s="192" t="s">
        <v>1</v>
      </c>
    </row>
    <row r="3" spans="1:10">
      <c r="A3" s="190" t="s">
        <v>2</v>
      </c>
    </row>
    <row r="4" spans="1:10">
      <c r="F4" s="4" t="s">
        <v>6</v>
      </c>
      <c r="G4" s="4"/>
    </row>
    <row r="5" spans="1:10" ht="15.75">
      <c r="A5" s="66" t="s">
        <v>178</v>
      </c>
    </row>
    <row r="6" spans="1:10" ht="15.75" thickBot="1">
      <c r="A6" s="67" t="s">
        <v>6</v>
      </c>
      <c r="B6" s="67" t="s">
        <v>6</v>
      </c>
      <c r="C6" s="67" t="s">
        <v>6</v>
      </c>
      <c r="D6" s="67" t="s">
        <v>6</v>
      </c>
      <c r="E6" s="67" t="s">
        <v>6</v>
      </c>
      <c r="F6" s="67" t="s">
        <v>6</v>
      </c>
      <c r="G6" s="67"/>
      <c r="H6" s="67" t="s">
        <v>6</v>
      </c>
      <c r="I6" s="67" t="s">
        <v>6</v>
      </c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217</v>
      </c>
      <c r="H7" s="3" t="s">
        <v>75</v>
      </c>
      <c r="I7" s="3" t="s">
        <v>75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  <c r="I10" s="3"/>
    </row>
    <row r="12" spans="1:10">
      <c r="A12" s="22" t="s">
        <v>179</v>
      </c>
      <c r="B12" s="3" t="s">
        <v>180</v>
      </c>
      <c r="C12" s="3" t="s">
        <v>181</v>
      </c>
      <c r="D12" s="68">
        <v>0.9</v>
      </c>
      <c r="E12" s="184">
        <v>0</v>
      </c>
      <c r="F12" s="3" t="s">
        <v>218</v>
      </c>
      <c r="G12" s="3" t="s">
        <v>127</v>
      </c>
      <c r="H12" s="68" t="s">
        <v>114</v>
      </c>
      <c r="I12" s="69">
        <v>3.3500000000000002E-2</v>
      </c>
      <c r="J12" t="s">
        <v>6</v>
      </c>
    </row>
    <row r="13" spans="1:10">
      <c r="A13" s="22" t="s">
        <v>182</v>
      </c>
      <c r="B13" s="3" t="s">
        <v>183</v>
      </c>
      <c r="C13" s="3" t="s">
        <v>181</v>
      </c>
      <c r="D13" s="68">
        <v>0.85</v>
      </c>
      <c r="E13" s="69">
        <v>0</v>
      </c>
      <c r="F13" s="3" t="s">
        <v>218</v>
      </c>
      <c r="G13" s="3" t="s">
        <v>219</v>
      </c>
      <c r="H13" s="68" t="s">
        <v>146</v>
      </c>
      <c r="I13" s="69">
        <v>3.3500000000000002E-2</v>
      </c>
      <c r="J13" t="s">
        <v>6</v>
      </c>
    </row>
    <row r="14" spans="1:10">
      <c r="A14" s="22" t="s">
        <v>184</v>
      </c>
      <c r="B14" s="3" t="s">
        <v>185</v>
      </c>
      <c r="C14" s="3" t="s">
        <v>181</v>
      </c>
      <c r="D14" s="68">
        <v>0.8</v>
      </c>
      <c r="E14" s="69">
        <v>0.13600000000000001</v>
      </c>
      <c r="F14" s="3" t="s">
        <v>218</v>
      </c>
      <c r="G14" s="3" t="s">
        <v>220</v>
      </c>
      <c r="H14" s="68" t="s">
        <v>114</v>
      </c>
      <c r="I14" s="69">
        <v>3.3500000000000002E-2</v>
      </c>
      <c r="J14" t="s">
        <v>6</v>
      </c>
    </row>
    <row r="15" spans="1:10">
      <c r="A15" s="22" t="s">
        <v>186</v>
      </c>
      <c r="B15" s="3" t="s">
        <v>187</v>
      </c>
      <c r="C15" s="3" t="s">
        <v>181</v>
      </c>
      <c r="D15" s="68">
        <v>0.75</v>
      </c>
      <c r="E15" s="69">
        <v>4.5999999999999999E-2</v>
      </c>
      <c r="F15" s="3" t="s">
        <v>152</v>
      </c>
      <c r="G15" s="3"/>
      <c r="H15" s="68" t="s">
        <v>96</v>
      </c>
      <c r="I15" s="69">
        <v>3.3500000000000002E-2</v>
      </c>
      <c r="J15" t="s">
        <v>6</v>
      </c>
    </row>
    <row r="16" spans="1:10">
      <c r="A16" s="22" t="s">
        <v>188</v>
      </c>
      <c r="B16" s="3" t="s">
        <v>189</v>
      </c>
      <c r="C16" s="3" t="s">
        <v>181</v>
      </c>
      <c r="D16" s="68">
        <v>1.1499999999999999</v>
      </c>
      <c r="E16" s="69">
        <v>0.14099999999999999</v>
      </c>
      <c r="F16" s="3" t="s">
        <v>78</v>
      </c>
      <c r="G16" s="3" t="s">
        <v>127</v>
      </c>
      <c r="H16" s="68" t="s">
        <v>146</v>
      </c>
      <c r="I16" s="69">
        <v>3.3500000000000002E-2</v>
      </c>
      <c r="J16" t="s">
        <v>6</v>
      </c>
    </row>
    <row r="17" spans="1:11">
      <c r="A17" s="22" t="s">
        <v>190</v>
      </c>
      <c r="B17" s="3" t="s">
        <v>191</v>
      </c>
      <c r="C17" s="3" t="s">
        <v>181</v>
      </c>
      <c r="D17" s="68">
        <v>0.8</v>
      </c>
      <c r="E17" s="69">
        <v>0.115</v>
      </c>
      <c r="F17" s="3" t="s">
        <v>80</v>
      </c>
      <c r="G17" s="3"/>
      <c r="H17" s="68" t="s">
        <v>146</v>
      </c>
      <c r="I17" s="69">
        <v>3.3500000000000002E-2</v>
      </c>
      <c r="J17" t="s">
        <v>6</v>
      </c>
    </row>
    <row r="18" spans="1:11">
      <c r="A18" s="22" t="s">
        <v>192</v>
      </c>
      <c r="B18" s="3" t="s">
        <v>193</v>
      </c>
      <c r="C18" s="3" t="s">
        <v>181</v>
      </c>
      <c r="D18" s="68">
        <v>0.95</v>
      </c>
      <c r="E18" s="69">
        <v>0.109</v>
      </c>
      <c r="F18" s="3" t="s">
        <v>218</v>
      </c>
      <c r="G18" s="3"/>
      <c r="H18" s="68" t="s">
        <v>146</v>
      </c>
      <c r="I18" s="69">
        <v>3.3500000000000002E-2</v>
      </c>
      <c r="J18" t="s">
        <v>6</v>
      </c>
    </row>
    <row r="19" spans="1:11">
      <c r="A19" s="22" t="s">
        <v>194</v>
      </c>
      <c r="B19" s="3" t="s">
        <v>195</v>
      </c>
      <c r="C19" s="3" t="s">
        <v>181</v>
      </c>
      <c r="D19" s="68">
        <v>0.85</v>
      </c>
      <c r="E19" s="69">
        <v>7.4999999999999997E-2</v>
      </c>
      <c r="F19" s="3" t="s">
        <v>218</v>
      </c>
      <c r="G19" s="3"/>
      <c r="H19" s="68" t="s">
        <v>221</v>
      </c>
      <c r="I19" s="184">
        <v>3.0200000000000001E-2</v>
      </c>
      <c r="J19" s="233" t="s">
        <v>6</v>
      </c>
      <c r="K19" s="182" t="s">
        <v>6</v>
      </c>
    </row>
    <row r="20" spans="1:11">
      <c r="A20" s="22" t="s">
        <v>196</v>
      </c>
      <c r="B20" s="3" t="s">
        <v>197</v>
      </c>
      <c r="C20" s="3" t="s">
        <v>181</v>
      </c>
      <c r="D20" s="68">
        <v>0.95</v>
      </c>
      <c r="E20" s="69">
        <v>0.161</v>
      </c>
      <c r="F20" s="3" t="s">
        <v>80</v>
      </c>
      <c r="G20" s="3"/>
      <c r="H20" s="68" t="s">
        <v>146</v>
      </c>
      <c r="I20" s="69">
        <v>3.3500000000000002E-2</v>
      </c>
      <c r="J20" t="s">
        <v>6</v>
      </c>
      <c r="K20" s="182"/>
    </row>
    <row r="21" spans="1:11">
      <c r="A21" s="22" t="s">
        <v>198</v>
      </c>
      <c r="B21" s="3" t="s">
        <v>199</v>
      </c>
      <c r="C21" s="3" t="s">
        <v>181</v>
      </c>
      <c r="D21" s="68">
        <v>0.85</v>
      </c>
      <c r="E21" s="69">
        <v>0.21</v>
      </c>
      <c r="F21" s="3" t="s">
        <v>78</v>
      </c>
      <c r="G21" s="3" t="s">
        <v>222</v>
      </c>
      <c r="H21" s="68" t="s">
        <v>81</v>
      </c>
      <c r="I21" s="69">
        <v>6.0699999999999997E-2</v>
      </c>
      <c r="J21" t="s">
        <v>6</v>
      </c>
      <c r="K21" s="182" t="s">
        <v>6</v>
      </c>
    </row>
    <row r="22" spans="1:11">
      <c r="A22" s="22" t="s">
        <v>200</v>
      </c>
      <c r="B22" s="3" t="s">
        <v>201</v>
      </c>
      <c r="C22" s="3" t="s">
        <v>181</v>
      </c>
      <c r="D22" s="68">
        <v>0.75</v>
      </c>
      <c r="E22" s="69">
        <v>3.6999999999999998E-2</v>
      </c>
      <c r="F22" s="3" t="s">
        <v>152</v>
      </c>
      <c r="G22" s="3"/>
      <c r="H22" s="68" t="s">
        <v>221</v>
      </c>
      <c r="I22" s="69">
        <v>3.0200000000000001E-2</v>
      </c>
      <c r="J22" t="s">
        <v>6</v>
      </c>
      <c r="K22" s="182"/>
    </row>
    <row r="23" spans="1:11">
      <c r="A23" s="22" t="s">
        <v>202</v>
      </c>
      <c r="B23" s="3" t="s">
        <v>203</v>
      </c>
      <c r="C23" s="3" t="s">
        <v>181</v>
      </c>
      <c r="D23" s="68">
        <v>1.05</v>
      </c>
      <c r="E23" s="69">
        <v>0.115</v>
      </c>
      <c r="F23" s="3" t="s">
        <v>218</v>
      </c>
      <c r="G23" s="3" t="s">
        <v>219</v>
      </c>
      <c r="H23" s="68" t="s">
        <v>223</v>
      </c>
      <c r="I23" s="69">
        <v>3.0200000000000001E-2</v>
      </c>
      <c r="J23" t="s">
        <v>6</v>
      </c>
      <c r="K23" s="182"/>
    </row>
    <row r="24" spans="1:11">
      <c r="A24" s="22" t="s">
        <v>204</v>
      </c>
      <c r="B24" s="3" t="s">
        <v>205</v>
      </c>
      <c r="C24" s="3" t="s">
        <v>181</v>
      </c>
      <c r="D24" s="68">
        <v>0.85</v>
      </c>
      <c r="E24" s="69">
        <v>0.16900000000000001</v>
      </c>
      <c r="F24" s="3" t="s">
        <v>218</v>
      </c>
      <c r="G24" s="3" t="s">
        <v>127</v>
      </c>
      <c r="H24" s="68" t="s">
        <v>146</v>
      </c>
      <c r="I24" s="69">
        <v>3.3500000000000002E-2</v>
      </c>
      <c r="J24" t="s">
        <v>6</v>
      </c>
      <c r="K24" s="182"/>
    </row>
    <row r="25" spans="1:11">
      <c r="A25" s="22" t="s">
        <v>206</v>
      </c>
      <c r="B25" s="3" t="s">
        <v>207</v>
      </c>
      <c r="C25" s="3" t="s">
        <v>181</v>
      </c>
      <c r="D25" s="68">
        <v>1.1000000000000001</v>
      </c>
      <c r="E25" s="69">
        <v>0.22</v>
      </c>
      <c r="F25" s="3" t="s">
        <v>80</v>
      </c>
      <c r="G25" s="3" t="s">
        <v>220</v>
      </c>
      <c r="H25" s="68" t="s">
        <v>146</v>
      </c>
      <c r="I25" s="69">
        <v>3.3500000000000002E-2</v>
      </c>
      <c r="J25" t="s">
        <v>6</v>
      </c>
      <c r="K25" s="182" t="s">
        <v>6</v>
      </c>
    </row>
    <row r="26" spans="1:11">
      <c r="A26" s="22" t="s">
        <v>224</v>
      </c>
      <c r="B26" s="3" t="s">
        <v>209</v>
      </c>
      <c r="C26" s="3" t="s">
        <v>181</v>
      </c>
      <c r="D26" s="68">
        <v>0.95</v>
      </c>
      <c r="E26" s="69">
        <v>0.13500000000000001</v>
      </c>
      <c r="F26" s="3" t="s">
        <v>218</v>
      </c>
      <c r="G26" s="3"/>
      <c r="H26" s="68" t="s">
        <v>146</v>
      </c>
      <c r="I26" s="69">
        <v>3.3500000000000002E-2</v>
      </c>
      <c r="J26" t="s">
        <v>6</v>
      </c>
      <c r="K26" s="182" t="s">
        <v>6</v>
      </c>
    </row>
    <row r="27" spans="1:11">
      <c r="A27" s="22" t="s">
        <v>210</v>
      </c>
      <c r="B27" s="3" t="s">
        <v>211</v>
      </c>
      <c r="C27" s="3" t="s">
        <v>181</v>
      </c>
      <c r="D27" s="68">
        <v>0.8</v>
      </c>
      <c r="E27" s="69">
        <v>0.13400000000000001</v>
      </c>
      <c r="F27" s="3" t="s">
        <v>152</v>
      </c>
      <c r="G27" s="3"/>
      <c r="H27" s="68" t="s">
        <v>114</v>
      </c>
      <c r="I27" s="69">
        <v>3.3500000000000002E-2</v>
      </c>
      <c r="J27" t="s">
        <v>6</v>
      </c>
    </row>
    <row r="28" spans="1:11" ht="15.75" thickBot="1">
      <c r="C28" s="22"/>
      <c r="D28" s="73"/>
      <c r="E28" s="73"/>
      <c r="F28" s="73"/>
      <c r="G28" s="73"/>
      <c r="H28" s="73" t="s">
        <v>225</v>
      </c>
      <c r="I28" s="73"/>
    </row>
    <row r="29" spans="1:11" ht="15.75" thickTop="1">
      <c r="C29" s="77" t="s">
        <v>54</v>
      </c>
      <c r="D29" s="150" t="s">
        <v>226</v>
      </c>
      <c r="E29" s="150" t="s">
        <v>227</v>
      </c>
      <c r="F29" s="3" t="s">
        <v>228</v>
      </c>
      <c r="G29" s="3"/>
      <c r="H29" s="150" t="s">
        <v>229</v>
      </c>
      <c r="I29" s="150" t="s">
        <v>230</v>
      </c>
    </row>
    <row r="30" spans="1:11">
      <c r="C30" s="77" t="s">
        <v>58</v>
      </c>
      <c r="D30" s="185">
        <f>MEDIAN(D12:D27)</f>
        <v>0.85</v>
      </c>
      <c r="E30" s="109">
        <f>MEDIAN(E12:E27)</f>
        <v>0.1245</v>
      </c>
      <c r="F30" s="77" t="s">
        <v>6</v>
      </c>
      <c r="G30" s="77"/>
      <c r="H30" s="109" t="s">
        <v>6</v>
      </c>
      <c r="I30" s="109">
        <f>MEDIAN(I12:I27)</f>
        <v>3.3500000000000002E-2</v>
      </c>
    </row>
    <row r="31" spans="1:11">
      <c r="C31" s="77" t="s">
        <v>29</v>
      </c>
      <c r="D31" s="186">
        <f>AVERAGE(D12:D27)</f>
        <v>0.89687499999999998</v>
      </c>
      <c r="E31" s="12">
        <f>AVERAGE(E12:E27)</f>
        <v>0.1126875</v>
      </c>
      <c r="F31" s="77" t="s">
        <v>6</v>
      </c>
      <c r="G31" s="77"/>
      <c r="H31" s="12" t="s">
        <v>6</v>
      </c>
      <c r="I31" s="12">
        <f>AVERAGE(I12:I27)</f>
        <v>3.4581249999999994E-2</v>
      </c>
    </row>
    <row r="33" spans="8:9" ht="21">
      <c r="H33" s="58" t="s">
        <v>82</v>
      </c>
      <c r="I33" s="105">
        <v>3.3500000000000002E-2</v>
      </c>
    </row>
  </sheetData>
  <pageMargins left="0.25" right="0.25" top="0.75" bottom="0.75" header="0.3" footer="0.3"/>
  <pageSetup scale="65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704A4-D228-4268-9D3E-61C6EC5FAF85}">
  <sheetPr codeName="Sheet46"/>
  <dimension ref="A1:F40"/>
  <sheetViews>
    <sheetView zoomScale="90" zoomScaleNormal="90" workbookViewId="0">
      <selection activeCell="L12" sqref="L12"/>
    </sheetView>
  </sheetViews>
  <sheetFormatPr defaultRowHeight="15"/>
  <cols>
    <col min="1" max="1" width="43.7109375" customWidth="1"/>
    <col min="2" max="2" width="12.28515625" bestFit="1" customWidth="1"/>
    <col min="3" max="3" width="22.140625" customWidth="1"/>
    <col min="4" max="4" width="22.5703125" customWidth="1"/>
    <col min="5" max="5" width="14.7109375" bestFit="1" customWidth="1"/>
    <col min="6" max="6" width="23.57031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 t="s">
        <v>6</v>
      </c>
    </row>
    <row r="5" spans="1:6" ht="15.75">
      <c r="A5" s="66" t="s">
        <v>178</v>
      </c>
    </row>
    <row r="6" spans="1:6" ht="15.75">
      <c r="A6" s="66"/>
    </row>
    <row r="7" spans="1:6" ht="18.75">
      <c r="A7" s="66"/>
      <c r="D7" s="84" t="s">
        <v>83</v>
      </c>
    </row>
    <row r="8" spans="1:6" ht="18.75">
      <c r="A8" s="66"/>
      <c r="D8" s="84" t="s">
        <v>84</v>
      </c>
    </row>
    <row r="9" spans="1:6" ht="15.75">
      <c r="A9" s="66"/>
    </row>
    <row r="10" spans="1:6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6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6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6">
      <c r="A13" s="8" t="s">
        <v>6</v>
      </c>
      <c r="B13" s="8" t="s">
        <v>6</v>
      </c>
      <c r="C13" s="8" t="s">
        <v>40</v>
      </c>
      <c r="D13" s="8" t="s">
        <v>40</v>
      </c>
      <c r="E13" s="8" t="s">
        <v>6</v>
      </c>
      <c r="F13" s="8" t="s">
        <v>6</v>
      </c>
    </row>
    <row r="14" spans="1:6">
      <c r="A14" s="3"/>
      <c r="B14" s="3"/>
      <c r="C14" s="3"/>
      <c r="D14" s="3"/>
      <c r="E14" s="3"/>
      <c r="F14" s="3"/>
    </row>
    <row r="16" spans="1:6" ht="15.75">
      <c r="A16" s="22" t="s">
        <v>179</v>
      </c>
      <c r="B16" s="3" t="s">
        <v>180</v>
      </c>
      <c r="C16" s="43">
        <f>'[5]S&amp;D'!G17</f>
        <v>66.349999999999994</v>
      </c>
      <c r="D16" s="68">
        <v>7.54</v>
      </c>
      <c r="E16" s="86">
        <f>C16/D16</f>
        <v>8.799734748010609</v>
      </c>
      <c r="F16" s="12">
        <f t="shared" ref="F16:F31" si="0">1/E16</f>
        <v>0.11363978899773927</v>
      </c>
    </row>
    <row r="17" spans="1:6" ht="15.75">
      <c r="A17" s="22" t="s">
        <v>182</v>
      </c>
      <c r="B17" s="3" t="s">
        <v>183</v>
      </c>
      <c r="C17" s="43">
        <f>'[5]S&amp;D'!G18</f>
        <v>61.47</v>
      </c>
      <c r="D17" s="68">
        <v>5.25</v>
      </c>
      <c r="E17" s="86">
        <f t="shared" ref="E17:E31" si="1">C17/D17</f>
        <v>11.708571428571428</v>
      </c>
      <c r="F17" s="12">
        <f t="shared" si="0"/>
        <v>8.5407515861395805E-2</v>
      </c>
    </row>
    <row r="18" spans="1:6" ht="15.75">
      <c r="A18" s="22" t="s">
        <v>184</v>
      </c>
      <c r="B18" s="3" t="s">
        <v>185</v>
      </c>
      <c r="C18" s="43">
        <f>'[5]S&amp;D'!G19</f>
        <v>89.01</v>
      </c>
      <c r="D18" s="68">
        <v>8.89</v>
      </c>
      <c r="E18" s="86">
        <f t="shared" si="1"/>
        <v>10.012373453318336</v>
      </c>
      <c r="F18" s="12">
        <f t="shared" si="0"/>
        <v>9.9876418379957296E-2</v>
      </c>
    </row>
    <row r="19" spans="1:6" ht="15.75">
      <c r="A19" s="22" t="s">
        <v>186</v>
      </c>
      <c r="B19" s="3" t="s">
        <v>187</v>
      </c>
      <c r="C19" s="43">
        <f>'[5]S&amp;D'!G20</f>
        <v>88.97</v>
      </c>
      <c r="D19" s="68">
        <v>10.98</v>
      </c>
      <c r="E19" s="86">
        <f>C19/D19</f>
        <v>8.1029143897996345</v>
      </c>
      <c r="F19" s="12">
        <f t="shared" si="0"/>
        <v>0.12341238619759472</v>
      </c>
    </row>
    <row r="20" spans="1:6" ht="15.75">
      <c r="A20" s="22" t="s">
        <v>188</v>
      </c>
      <c r="B20" s="3" t="s">
        <v>189</v>
      </c>
      <c r="C20" s="43">
        <f>'[5]S&amp;D'!G21</f>
        <v>27.91</v>
      </c>
      <c r="D20" s="68">
        <v>3</v>
      </c>
      <c r="E20" s="86">
        <f t="shared" si="1"/>
        <v>9.3033333333333328</v>
      </c>
      <c r="F20" s="12">
        <f t="shared" si="0"/>
        <v>0.10748835542816196</v>
      </c>
    </row>
    <row r="21" spans="1:6" ht="15.75">
      <c r="A21" s="22" t="s">
        <v>190</v>
      </c>
      <c r="B21" s="3" t="s">
        <v>191</v>
      </c>
      <c r="C21" s="43">
        <f>'[5]S&amp;D'!G22</f>
        <v>65.05</v>
      </c>
      <c r="D21" s="68">
        <v>6.42</v>
      </c>
      <c r="E21" s="86">
        <f t="shared" si="1"/>
        <v>10.13239875389408</v>
      </c>
      <c r="F21" s="12">
        <f t="shared" si="0"/>
        <v>9.8693312836279801E-2</v>
      </c>
    </row>
    <row r="22" spans="1:6" ht="15.75">
      <c r="A22" s="22" t="s">
        <v>192</v>
      </c>
      <c r="B22" s="3" t="s">
        <v>193</v>
      </c>
      <c r="C22" s="43">
        <f>'[5]S&amp;D'!G23</f>
        <v>119.54</v>
      </c>
      <c r="D22" s="68">
        <v>11.94</v>
      </c>
      <c r="E22" s="86">
        <f t="shared" si="1"/>
        <v>10.011725293132329</v>
      </c>
      <c r="F22" s="12">
        <f t="shared" si="0"/>
        <v>9.9882884390162283E-2</v>
      </c>
    </row>
    <row r="23" spans="1:6" ht="15.75">
      <c r="A23" s="22" t="s">
        <v>194</v>
      </c>
      <c r="B23" s="3" t="s">
        <v>195</v>
      </c>
      <c r="C23" s="43">
        <f>'[5]S&amp;D'!G24</f>
        <v>104.9</v>
      </c>
      <c r="D23" s="68">
        <v>12.4</v>
      </c>
      <c r="E23" s="86">
        <f t="shared" si="1"/>
        <v>8.4596774193548381</v>
      </c>
      <c r="F23" s="12">
        <f t="shared" si="0"/>
        <v>0.11820781696854148</v>
      </c>
    </row>
    <row r="24" spans="1:6" ht="15.75">
      <c r="A24" s="22" t="s">
        <v>196</v>
      </c>
      <c r="B24" s="3" t="s">
        <v>197</v>
      </c>
      <c r="C24" s="43">
        <f>'[5]S&amp;D'!G25</f>
        <v>112.65</v>
      </c>
      <c r="D24" s="68">
        <v>17.899999999999999</v>
      </c>
      <c r="E24" s="86">
        <f t="shared" si="1"/>
        <v>6.2932960893854757</v>
      </c>
      <c r="F24" s="12">
        <f t="shared" si="0"/>
        <v>0.1588992454505104</v>
      </c>
    </row>
    <row r="25" spans="1:6" ht="15.75">
      <c r="A25" s="22" t="s">
        <v>198</v>
      </c>
      <c r="B25" s="3" t="s">
        <v>199</v>
      </c>
      <c r="C25" s="43">
        <f>'[5]S&amp;D'!G26</f>
        <v>41.59</v>
      </c>
      <c r="D25" s="68">
        <v>4.5</v>
      </c>
      <c r="E25" s="86">
        <f t="shared" si="1"/>
        <v>9.2422222222222228</v>
      </c>
      <c r="F25" s="12">
        <f t="shared" si="0"/>
        <v>0.10819908631882663</v>
      </c>
    </row>
    <row r="26" spans="1:6" ht="15.75">
      <c r="A26" s="22" t="s">
        <v>200</v>
      </c>
      <c r="B26" s="3" t="s">
        <v>201</v>
      </c>
      <c r="C26" s="43">
        <f>'[5]S&amp;D'!G27</f>
        <v>82.25</v>
      </c>
      <c r="D26" s="68">
        <v>5.05</v>
      </c>
      <c r="E26" s="86">
        <f t="shared" si="1"/>
        <v>16.287128712871286</v>
      </c>
      <c r="F26" s="12">
        <f t="shared" si="0"/>
        <v>6.1398176291793317E-2</v>
      </c>
    </row>
    <row r="27" spans="1:6" ht="15.75">
      <c r="A27" s="22" t="s">
        <v>202</v>
      </c>
      <c r="B27" s="3" t="s">
        <v>203</v>
      </c>
      <c r="C27" s="43">
        <f>'[5]S&amp;D'!G28</f>
        <v>38.380000000000003</v>
      </c>
      <c r="D27" s="68">
        <v>4.4400000000000004</v>
      </c>
      <c r="E27" s="86">
        <f t="shared" si="1"/>
        <v>8.6441441441441444</v>
      </c>
      <c r="F27" s="12">
        <f t="shared" si="0"/>
        <v>0.1156852527357999</v>
      </c>
    </row>
    <row r="28" spans="1:6" ht="15.75">
      <c r="A28" s="22" t="s">
        <v>204</v>
      </c>
      <c r="B28" s="3" t="s">
        <v>205</v>
      </c>
      <c r="C28" s="43">
        <f>'[5]S&amp;D'!G29</f>
        <v>71.42</v>
      </c>
      <c r="D28" s="68">
        <v>6.45</v>
      </c>
      <c r="E28" s="86">
        <f t="shared" si="1"/>
        <v>11.072868217054264</v>
      </c>
      <c r="F28" s="12">
        <f t="shared" si="0"/>
        <v>9.0310837300476052E-2</v>
      </c>
    </row>
    <row r="29" spans="1:6" ht="15.75">
      <c r="A29" s="22" t="s">
        <v>231</v>
      </c>
      <c r="B29" s="3" t="s">
        <v>207</v>
      </c>
      <c r="C29" s="43">
        <f>'[5]S&amp;D'!G30</f>
        <v>30.06</v>
      </c>
      <c r="D29" s="68">
        <v>2.2000000000000002</v>
      </c>
      <c r="E29" s="86">
        <f t="shared" si="1"/>
        <v>13.663636363636362</v>
      </c>
      <c r="F29" s="12">
        <f t="shared" si="0"/>
        <v>7.318695941450433E-2</v>
      </c>
    </row>
    <row r="30" spans="1:6" ht="15.75">
      <c r="A30" s="22" t="s">
        <v>224</v>
      </c>
      <c r="B30" s="3" t="s">
        <v>209</v>
      </c>
      <c r="C30" s="43">
        <f>'[5]S&amp;D'!G31</f>
        <v>68.58</v>
      </c>
      <c r="D30" s="68">
        <v>7.2</v>
      </c>
      <c r="E30" s="86">
        <f t="shared" si="1"/>
        <v>9.5250000000000004</v>
      </c>
      <c r="F30" s="12">
        <f t="shared" si="0"/>
        <v>0.10498687664041995</v>
      </c>
    </row>
    <row r="31" spans="1:6" ht="15.75">
      <c r="A31" s="22" t="s">
        <v>210</v>
      </c>
      <c r="B31" s="3" t="s">
        <v>211</v>
      </c>
      <c r="C31" s="43">
        <f>'[5]S&amp;D'!G32</f>
        <v>97.07</v>
      </c>
      <c r="D31" s="68">
        <v>7.53</v>
      </c>
      <c r="E31" s="86">
        <f t="shared" si="1"/>
        <v>12.89110225763612</v>
      </c>
      <c r="F31" s="12">
        <f t="shared" si="0"/>
        <v>7.7572885546512829E-2</v>
      </c>
    </row>
    <row r="32" spans="1:6" ht="15.75" thickBot="1">
      <c r="B32" s="76"/>
      <c r="C32" s="76"/>
      <c r="D32" s="76"/>
      <c r="E32" s="76"/>
      <c r="F32" s="76"/>
    </row>
    <row r="33" spans="1:6" ht="15.75" thickTop="1">
      <c r="B33" s="77" t="s">
        <v>54</v>
      </c>
      <c r="C33" s="234" t="s">
        <v>232</v>
      </c>
      <c r="D33" s="234" t="s">
        <v>233</v>
      </c>
      <c r="E33" s="234" t="s">
        <v>234</v>
      </c>
      <c r="F33" s="234" t="s">
        <v>235</v>
      </c>
    </row>
    <row r="34" spans="1:6">
      <c r="B34" s="77" t="s">
        <v>58</v>
      </c>
      <c r="C34" s="235">
        <f>MEDIAN(C16:C31)</f>
        <v>70</v>
      </c>
      <c r="D34" s="155">
        <f>MEDIAN(D16:D31)</f>
        <v>6.8250000000000002</v>
      </c>
      <c r="E34" s="186">
        <f>MEDIAN(E16:E31)</f>
        <v>9.7683626465661639</v>
      </c>
      <c r="F34" s="12">
        <f>MEDIAN(F16:F31)</f>
        <v>0.10243488051529112</v>
      </c>
    </row>
    <row r="35" spans="1:6">
      <c r="B35" s="77" t="s">
        <v>29</v>
      </c>
      <c r="C35" s="186">
        <f>AVERAGE(C16:C31)</f>
        <v>72.824999999999989</v>
      </c>
      <c r="D35" s="185">
        <f>AVERAGE(D16:D31)</f>
        <v>7.6056249999999999</v>
      </c>
      <c r="E35" s="186">
        <f>AVERAGE(E16:E31)</f>
        <v>10.259382926647781</v>
      </c>
      <c r="F35" s="236">
        <f>AVERAGE(F16:F31)</f>
        <v>0.10230298742241724</v>
      </c>
    </row>
    <row r="37" spans="1:6" ht="21">
      <c r="E37" s="58" t="s">
        <v>20</v>
      </c>
      <c r="F37" s="105">
        <v>0.1024</v>
      </c>
    </row>
    <row r="38" spans="1:6">
      <c r="F38" s="237" t="s">
        <v>6</v>
      </c>
    </row>
    <row r="39" spans="1:6">
      <c r="A39" s="56" t="s">
        <v>6</v>
      </c>
    </row>
    <row r="40" spans="1:6">
      <c r="A40" s="56" t="s">
        <v>236</v>
      </c>
    </row>
  </sheetData>
  <pageMargins left="0.25" right="0.25" top="0.75" bottom="0.75" header="0.3" footer="0.3"/>
  <pageSetup scale="6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9E99-2199-4B27-9205-19FC0D8C69FA}">
  <sheetPr codeName="Sheet49">
    <pageSetUpPr fitToPage="1"/>
  </sheetPr>
  <dimension ref="A1:F24"/>
  <sheetViews>
    <sheetView zoomScaleNormal="100" workbookViewId="0">
      <selection activeCell="C11" sqref="C11"/>
    </sheetView>
  </sheetViews>
  <sheetFormatPr defaultRowHeight="15"/>
  <cols>
    <col min="1" max="1" width="24.85546875" customWidth="1"/>
    <col min="2" max="2" width="13.28515625" bestFit="1" customWidth="1"/>
    <col min="3" max="3" width="35.28515625" customWidth="1"/>
    <col min="4" max="4" width="12" bestFit="1" customWidth="1"/>
    <col min="5" max="5" width="20.85546875" bestFit="1" customWidth="1"/>
    <col min="6" max="6" width="16.28515625" customWidth="1"/>
  </cols>
  <sheetData>
    <row r="1" spans="1:6" ht="21">
      <c r="C1" s="1" t="s">
        <v>0</v>
      </c>
    </row>
    <row r="2" spans="1:6" ht="15.75">
      <c r="A2" s="190"/>
      <c r="C2" s="2" t="s">
        <v>1</v>
      </c>
    </row>
    <row r="3" spans="1:6">
      <c r="A3" s="190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237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</row>
    <row r="17" spans="1:6">
      <c r="A17" s="3"/>
      <c r="B17" s="3"/>
      <c r="C17" s="3"/>
      <c r="D17" s="3"/>
      <c r="E17" s="3"/>
      <c r="F17" s="3"/>
    </row>
    <row r="18" spans="1:6" ht="15.75">
      <c r="A18" s="2" t="s">
        <v>17</v>
      </c>
      <c r="B18" s="9">
        <f>+'[6]S&amp;D'!H41</f>
        <v>0.48</v>
      </c>
      <c r="C18" s="9">
        <f>+'[6]CF Multiples'!G26</f>
        <v>0.105</v>
      </c>
      <c r="D18" s="13" t="s">
        <v>177</v>
      </c>
      <c r="E18" s="9">
        <f>+C18</f>
        <v>0.105</v>
      </c>
      <c r="F18" s="162">
        <f>+E18*B18</f>
        <v>5.0399999999999993E-2</v>
      </c>
    </row>
    <row r="19" spans="1:6" ht="15.75">
      <c r="A19" s="2" t="s">
        <v>6</v>
      </c>
      <c r="B19" s="13" t="s">
        <v>6</v>
      </c>
      <c r="C19" s="13" t="s">
        <v>6</v>
      </c>
      <c r="D19" s="13" t="s">
        <v>6</v>
      </c>
      <c r="E19" s="191" t="s">
        <v>6</v>
      </c>
      <c r="F19" s="11" t="s">
        <v>6</v>
      </c>
    </row>
    <row r="20" spans="1:6" ht="15.75">
      <c r="A20" s="2" t="s">
        <v>18</v>
      </c>
      <c r="B20" s="9">
        <f>+'[6]S&amp;D'!I41</f>
        <v>0.52</v>
      </c>
      <c r="C20" s="9">
        <f>+[6]Debt!I19</f>
        <v>6.0699999999999997E-2</v>
      </c>
      <c r="D20" s="9">
        <v>0.26</v>
      </c>
      <c r="E20" s="9">
        <f>+C20*(1-D20)</f>
        <v>4.4918E-2</v>
      </c>
      <c r="F20" s="162">
        <f>+B20*E20</f>
        <v>2.3357360000000001E-2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53" t="s">
        <v>6</v>
      </c>
    </row>
    <row r="22" spans="1:6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62">
        <f>+F18+F20</f>
        <v>7.3757359999999994E-2</v>
      </c>
    </row>
    <row r="23" spans="1:6" ht="15.75">
      <c r="A23" s="24"/>
      <c r="B23" s="24"/>
      <c r="C23" s="24"/>
      <c r="D23" s="24"/>
      <c r="E23" s="24"/>
      <c r="F23" s="160"/>
    </row>
    <row r="24" spans="1:6" ht="15.75">
      <c r="E24" s="14" t="s">
        <v>20</v>
      </c>
      <c r="F24" s="162">
        <v>7.3800000000000004E-2</v>
      </c>
    </row>
  </sheetData>
  <pageMargins left="0.25" right="0.25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89F9-59FA-4115-90D6-B6918921B104}">
  <sheetPr codeName="Sheet50">
    <pageSetUpPr fitToPage="1"/>
  </sheetPr>
  <dimension ref="A1:M42"/>
  <sheetViews>
    <sheetView tabSelected="1" topLeftCell="A11" zoomScale="80" zoomScaleNormal="80" zoomScalePageLayoutView="70" workbookViewId="0">
      <pane xSplit="1" topLeftCell="C1" activePane="topRight" state="frozen"/>
      <selection activeCell="L12" sqref="L12"/>
      <selection pane="topRight" activeCell="J28" sqref="J28"/>
    </sheetView>
  </sheetViews>
  <sheetFormatPr defaultRowHeight="15"/>
  <cols>
    <col min="1" max="1" width="61.42578125" customWidth="1"/>
    <col min="2" max="2" width="13.42578125" customWidth="1"/>
    <col min="3" max="3" width="20.42578125" bestFit="1" customWidth="1"/>
    <col min="4" max="4" width="25.5703125" bestFit="1" customWidth="1"/>
    <col min="5" max="5" width="20" customWidth="1"/>
    <col min="6" max="6" width="26.7109375" customWidth="1"/>
    <col min="7" max="7" width="23.28515625" customWidth="1"/>
    <col min="8" max="8" width="29" bestFit="1" customWidth="1"/>
    <col min="9" max="9" width="29.28515625" customWidth="1"/>
    <col min="10" max="10" width="30.85546875" customWidth="1"/>
    <col min="11" max="11" width="30.140625" customWidth="1"/>
    <col min="12" max="12" width="28.28515625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192" t="s">
        <v>1</v>
      </c>
    </row>
    <row r="3" spans="1:12">
      <c r="A3" s="190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238</v>
      </c>
      <c r="B9" s="28"/>
      <c r="C9" s="28"/>
      <c r="D9" s="28"/>
      <c r="E9" s="28"/>
      <c r="F9" s="28"/>
      <c r="G9" s="28"/>
      <c r="H9" s="28"/>
      <c r="I9" s="28"/>
      <c r="J9" s="28"/>
      <c r="L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110"/>
      <c r="B11" s="238"/>
      <c r="C11" s="111"/>
      <c r="D11" s="239" t="s">
        <v>6</v>
      </c>
      <c r="E11" s="239" t="s">
        <v>6</v>
      </c>
      <c r="F11" s="240" t="s">
        <v>6</v>
      </c>
      <c r="G11" s="238"/>
      <c r="H11" s="241" t="s">
        <v>23</v>
      </c>
      <c r="I11" s="241" t="s">
        <v>6</v>
      </c>
      <c r="J11" s="241" t="s">
        <v>6</v>
      </c>
    </row>
    <row r="12" spans="1:12" ht="15.75">
      <c r="A12" s="114" t="s">
        <v>6</v>
      </c>
      <c r="B12" s="193" t="s">
        <v>26</v>
      </c>
      <c r="C12" s="36" t="s">
        <v>27</v>
      </c>
      <c r="D12" s="194" t="s">
        <v>24</v>
      </c>
      <c r="E12" s="194" t="s">
        <v>24</v>
      </c>
      <c r="F12" s="37" t="s">
        <v>24</v>
      </c>
      <c r="G12" s="195" t="s">
        <v>6</v>
      </c>
      <c r="H12" s="193" t="s">
        <v>25</v>
      </c>
      <c r="I12" s="193" t="s">
        <v>23</v>
      </c>
      <c r="J12" s="197" t="s">
        <v>23</v>
      </c>
    </row>
    <row r="13" spans="1:12" ht="15.75">
      <c r="A13" s="114"/>
      <c r="B13" s="193" t="s">
        <v>34</v>
      </c>
      <c r="C13" s="36" t="s">
        <v>35</v>
      </c>
      <c r="D13" s="194" t="s">
        <v>28</v>
      </c>
      <c r="E13" s="194" t="s">
        <v>28</v>
      </c>
      <c r="F13" s="37" t="s">
        <v>29</v>
      </c>
      <c r="G13" s="195" t="s">
        <v>23</v>
      </c>
      <c r="H13" s="193" t="s">
        <v>30</v>
      </c>
      <c r="I13" s="196" t="s">
        <v>31</v>
      </c>
      <c r="J13" s="197" t="s">
        <v>47</v>
      </c>
    </row>
    <row r="14" spans="1:12" ht="16.5" thickBot="1">
      <c r="A14" s="116" t="s">
        <v>33</v>
      </c>
      <c r="B14" s="200" t="s">
        <v>6</v>
      </c>
      <c r="C14" s="39" t="s">
        <v>6</v>
      </c>
      <c r="D14" s="200" t="s">
        <v>36</v>
      </c>
      <c r="E14" s="200" t="s">
        <v>37</v>
      </c>
      <c r="F14" s="39" t="s">
        <v>28</v>
      </c>
      <c r="G14" s="200" t="s">
        <v>28</v>
      </c>
      <c r="H14" s="242" t="s">
        <v>38</v>
      </c>
      <c r="I14" s="200" t="s">
        <v>155</v>
      </c>
      <c r="J14" s="200" t="s">
        <v>155</v>
      </c>
    </row>
    <row r="15" spans="1:12" ht="15.75">
      <c r="A15" s="118" t="s">
        <v>40</v>
      </c>
      <c r="B15" s="202" t="s">
        <v>40</v>
      </c>
      <c r="C15" s="41" t="s">
        <v>40</v>
      </c>
      <c r="D15" s="202" t="s">
        <v>41</v>
      </c>
      <c r="E15" s="202" t="s">
        <v>41</v>
      </c>
      <c r="F15" s="41" t="s">
        <v>41</v>
      </c>
      <c r="G15" s="202" t="s">
        <v>40</v>
      </c>
      <c r="H15" s="202" t="s">
        <v>42</v>
      </c>
      <c r="I15" s="202" t="s">
        <v>42</v>
      </c>
      <c r="J15" s="202" t="s">
        <v>42</v>
      </c>
    </row>
    <row r="16" spans="1:12" ht="15.75">
      <c r="A16" s="114"/>
      <c r="B16" s="193"/>
      <c r="C16" s="36"/>
      <c r="D16" s="193"/>
      <c r="E16" s="193"/>
      <c r="F16" s="36"/>
      <c r="G16" s="193"/>
      <c r="H16" s="193"/>
      <c r="I16" s="203"/>
      <c r="J16" s="203"/>
    </row>
    <row r="17" spans="1:13" ht="15.75">
      <c r="A17" s="121" t="s">
        <v>239</v>
      </c>
      <c r="B17" s="205" t="s">
        <v>240</v>
      </c>
      <c r="C17" s="2" t="s">
        <v>241</v>
      </c>
      <c r="D17" s="206">
        <v>41.37</v>
      </c>
      <c r="E17" s="206">
        <v>40.58</v>
      </c>
      <c r="F17" s="43">
        <f t="shared" ref="F17:F21" si="0">AVERAGE(D17,E17)</f>
        <v>40.974999999999994</v>
      </c>
      <c r="G17" s="206">
        <v>41.19</v>
      </c>
      <c r="H17" s="208">
        <f>979000000</f>
        <v>979000000</v>
      </c>
      <c r="I17" s="208">
        <v>0</v>
      </c>
      <c r="J17" s="208">
        <f>3373000000+35324000000</f>
        <v>38697000000</v>
      </c>
    </row>
    <row r="18" spans="1:13" ht="15.75">
      <c r="A18" s="121" t="s">
        <v>242</v>
      </c>
      <c r="B18" s="205" t="s">
        <v>243</v>
      </c>
      <c r="C18" s="2" t="s">
        <v>241</v>
      </c>
      <c r="D18" s="206">
        <v>43.23</v>
      </c>
      <c r="E18" s="207">
        <v>42.7</v>
      </c>
      <c r="F18" s="43">
        <f t="shared" si="0"/>
        <v>42.965000000000003</v>
      </c>
      <c r="G18" s="207">
        <v>43.08</v>
      </c>
      <c r="H18" s="374">
        <f>243753899</f>
        <v>243753899</v>
      </c>
      <c r="I18" s="208">
        <v>0</v>
      </c>
      <c r="J18" s="208">
        <f>7966000000+4000000</f>
        <v>7970000000</v>
      </c>
      <c r="M18" s="139" t="s">
        <v>6</v>
      </c>
    </row>
    <row r="19" spans="1:13" ht="15.75">
      <c r="A19" s="121" t="s">
        <v>224</v>
      </c>
      <c r="B19" s="205" t="s">
        <v>209</v>
      </c>
      <c r="C19" s="2" t="s">
        <v>241</v>
      </c>
      <c r="D19" s="206">
        <v>68.88</v>
      </c>
      <c r="E19" s="206">
        <v>68.16</v>
      </c>
      <c r="F19" s="43">
        <f t="shared" si="0"/>
        <v>68.52</v>
      </c>
      <c r="G19" s="206">
        <v>68.58</v>
      </c>
      <c r="H19" s="208">
        <f>1100000000-1000000</f>
        <v>1099000000</v>
      </c>
      <c r="I19" s="45">
        <v>291000000</v>
      </c>
      <c r="J19" s="208">
        <f>2157000000+50120000000</f>
        <v>52277000000</v>
      </c>
    </row>
    <row r="20" spans="1:13" ht="15.75">
      <c r="A20" s="243" t="s">
        <v>244</v>
      </c>
      <c r="B20" s="205" t="s">
        <v>245</v>
      </c>
      <c r="C20" s="2" t="s">
        <v>241</v>
      </c>
      <c r="D20" s="206">
        <v>25.66</v>
      </c>
      <c r="E20" s="207">
        <v>22.9</v>
      </c>
      <c r="F20" s="43">
        <f t="shared" si="0"/>
        <v>24.28</v>
      </c>
      <c r="G20" s="206">
        <v>24.13</v>
      </c>
      <c r="H20" s="208">
        <v>666793625</v>
      </c>
      <c r="I20" s="208">
        <v>825000000</v>
      </c>
      <c r="J20" s="208">
        <f>13603000000+1367000000</f>
        <v>14970000000</v>
      </c>
    </row>
    <row r="21" spans="1:13" ht="16.5" thickBot="1">
      <c r="A21" s="127" t="s">
        <v>246</v>
      </c>
      <c r="B21" s="212" t="s">
        <v>247</v>
      </c>
      <c r="C21" s="17" t="s">
        <v>241</v>
      </c>
      <c r="D21" s="244">
        <v>22.87</v>
      </c>
      <c r="E21" s="215">
        <v>22.24</v>
      </c>
      <c r="F21" s="245">
        <f t="shared" si="0"/>
        <v>22.555</v>
      </c>
      <c r="G21" s="215">
        <v>22.77</v>
      </c>
      <c r="H21" s="216">
        <f>469072597</f>
        <v>469072597</v>
      </c>
      <c r="I21" s="216">
        <f>2000000000</f>
        <v>2000000000</v>
      </c>
      <c r="J21" s="216">
        <f>(254+10477)*1000000</f>
        <v>10731000000</v>
      </c>
    </row>
    <row r="22" spans="1:13" ht="15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3" ht="16.5" thickBot="1">
      <c r="A23" s="46"/>
      <c r="B23" s="46"/>
      <c r="C23" s="46"/>
      <c r="D23" s="46"/>
      <c r="E23" s="46"/>
      <c r="F23" s="46"/>
      <c r="G23" s="46"/>
      <c r="H23" s="46"/>
      <c r="I23" s="46"/>
      <c r="J23" s="47"/>
    </row>
    <row r="24" spans="1:13" ht="15.75">
      <c r="A24" s="47"/>
      <c r="B24" s="246"/>
      <c r="C24" s="47"/>
      <c r="D24" s="246"/>
      <c r="E24" s="241" t="s">
        <v>6</v>
      </c>
      <c r="F24" s="246"/>
      <c r="G24" s="47"/>
      <c r="H24" s="246"/>
      <c r="I24" s="246"/>
      <c r="J24" s="47"/>
    </row>
    <row r="25" spans="1:13" ht="15.75">
      <c r="A25" s="36"/>
      <c r="B25" s="193"/>
      <c r="C25" s="36"/>
      <c r="D25" s="195" t="s">
        <v>23</v>
      </c>
      <c r="E25" s="193" t="s">
        <v>23</v>
      </c>
      <c r="F25" s="195" t="s">
        <v>23</v>
      </c>
      <c r="G25" s="35" t="s">
        <v>23</v>
      </c>
      <c r="H25" s="195" t="s">
        <v>23</v>
      </c>
      <c r="I25" s="195" t="s">
        <v>23</v>
      </c>
      <c r="J25" s="35" t="s">
        <v>6</v>
      </c>
      <c r="L25" s="2"/>
    </row>
    <row r="26" spans="1:13" ht="15.75">
      <c r="A26" s="36" t="s">
        <v>6</v>
      </c>
      <c r="B26" s="193" t="s">
        <v>26</v>
      </c>
      <c r="C26" s="36" t="s">
        <v>27</v>
      </c>
      <c r="D26" s="193" t="s">
        <v>25</v>
      </c>
      <c r="E26" s="196" t="s">
        <v>31</v>
      </c>
      <c r="F26" s="193" t="s">
        <v>213</v>
      </c>
      <c r="G26" s="38" t="s">
        <v>48</v>
      </c>
      <c r="H26" s="197" t="s">
        <v>49</v>
      </c>
      <c r="I26" s="197" t="s">
        <v>214</v>
      </c>
      <c r="J26" s="38" t="s">
        <v>6</v>
      </c>
      <c r="L26" s="2"/>
    </row>
    <row r="27" spans="1:13" ht="16.5" thickBot="1">
      <c r="A27" s="39" t="s">
        <v>33</v>
      </c>
      <c r="B27" s="200" t="s">
        <v>34</v>
      </c>
      <c r="C27" s="39" t="s">
        <v>35</v>
      </c>
      <c r="D27" s="200" t="s">
        <v>51</v>
      </c>
      <c r="E27" s="200" t="s">
        <v>51</v>
      </c>
      <c r="F27" s="200" t="s">
        <v>51</v>
      </c>
      <c r="G27" s="39" t="s">
        <v>52</v>
      </c>
      <c r="H27" s="200" t="s">
        <v>6</v>
      </c>
      <c r="I27" s="200" t="s">
        <v>6</v>
      </c>
      <c r="J27" s="36" t="s">
        <v>6</v>
      </c>
      <c r="L27" s="24"/>
    </row>
    <row r="28" spans="1:13" ht="15.75">
      <c r="A28" s="247" t="s">
        <v>40</v>
      </c>
      <c r="B28" s="248" t="s">
        <v>40</v>
      </c>
      <c r="C28" s="135" t="s">
        <v>40</v>
      </c>
      <c r="D28" s="248" t="s">
        <v>53</v>
      </c>
      <c r="E28" s="248" t="s">
        <v>42</v>
      </c>
      <c r="F28" s="248" t="s">
        <v>42</v>
      </c>
      <c r="G28" s="135" t="s">
        <v>53</v>
      </c>
      <c r="H28" s="248" t="s">
        <v>53</v>
      </c>
      <c r="I28" s="248" t="s">
        <v>53</v>
      </c>
      <c r="J28" s="36"/>
      <c r="L28" s="2"/>
    </row>
    <row r="29" spans="1:13" ht="15.75">
      <c r="A29" s="114"/>
      <c r="B29" s="193"/>
      <c r="C29" s="36"/>
      <c r="D29" s="249"/>
      <c r="E29" s="249"/>
      <c r="F29" s="249"/>
      <c r="G29" s="42"/>
      <c r="H29" s="203"/>
      <c r="I29" s="203"/>
      <c r="J29" s="42" t="s">
        <v>6</v>
      </c>
      <c r="L29" s="47"/>
    </row>
    <row r="30" spans="1:13" ht="15.75">
      <c r="A30" s="204" t="str">
        <f t="shared" ref="A30:C34" si="1">+A17</f>
        <v>Exelon Corp</v>
      </c>
      <c r="B30" s="250" t="str">
        <f t="shared" si="1"/>
        <v>EXC</v>
      </c>
      <c r="C30" s="2" t="str">
        <f t="shared" si="1"/>
        <v>Wholesale Power</v>
      </c>
      <c r="D30" s="251">
        <f>(+H17)*G17</f>
        <v>40325010000</v>
      </c>
      <c r="E30" s="252">
        <f>(1/1)*I17</f>
        <v>0</v>
      </c>
      <c r="F30" s="251">
        <f>J17*(43592/38697)</f>
        <v>43592000000</v>
      </c>
      <c r="G30" s="45">
        <f t="shared" ref="G30:G34" si="2">+D30+E30+F30</f>
        <v>83917010000</v>
      </c>
      <c r="H30" s="253">
        <f t="shared" ref="H30:H34" si="3">(+D30)/G30</f>
        <v>0.48053439940245724</v>
      </c>
      <c r="I30" s="253">
        <f>(+E30+F30)/G30</f>
        <v>0.51946560059754276</v>
      </c>
      <c r="J30" s="140" t="s">
        <v>6</v>
      </c>
      <c r="L30" s="47"/>
    </row>
    <row r="31" spans="1:13" ht="15.75">
      <c r="A31" s="204" t="str">
        <f t="shared" si="1"/>
        <v>NRG Energy</v>
      </c>
      <c r="B31" s="250" t="str">
        <f t="shared" si="1"/>
        <v>NRG</v>
      </c>
      <c r="C31" s="2" t="str">
        <f t="shared" si="1"/>
        <v>Wholesale Power</v>
      </c>
      <c r="D31" s="251">
        <f>(+H18)*G18</f>
        <v>10500917968.92</v>
      </c>
      <c r="E31" s="252">
        <f>(1/1)*I18</f>
        <v>0</v>
      </c>
      <c r="F31" s="251">
        <f>J18*(8327/8040)</f>
        <v>8254501243.7810946</v>
      </c>
      <c r="G31" s="45">
        <f t="shared" si="2"/>
        <v>18755419212.701096</v>
      </c>
      <c r="H31" s="253">
        <f t="shared" si="3"/>
        <v>0.55988713714321137</v>
      </c>
      <c r="I31" s="253">
        <f t="shared" ref="I31:I34" si="4">(+E31+F31)/G31</f>
        <v>0.44011286285678858</v>
      </c>
      <c r="J31" s="140" t="s">
        <v>6</v>
      </c>
      <c r="L31" s="47"/>
    </row>
    <row r="32" spans="1:13" ht="15.75">
      <c r="A32" s="204" t="str">
        <f t="shared" si="1"/>
        <v>Southern Company</v>
      </c>
      <c r="B32" s="250" t="str">
        <f t="shared" si="1"/>
        <v>SO</v>
      </c>
      <c r="C32" s="2" t="str">
        <f t="shared" si="1"/>
        <v>Wholesale Power</v>
      </c>
      <c r="D32" s="251">
        <f>(+H19)*G19</f>
        <v>75369420000</v>
      </c>
      <c r="E32" s="251">
        <f>(1/1)*I19</f>
        <v>291000000</v>
      </c>
      <c r="F32" s="251">
        <f>J19*(57.1/52.1)</f>
        <v>57293986564.299423</v>
      </c>
      <c r="G32" s="45">
        <f t="shared" si="2"/>
        <v>132954406564.29942</v>
      </c>
      <c r="H32" s="253">
        <f t="shared" si="3"/>
        <v>0.56688169988220616</v>
      </c>
      <c r="I32" s="253">
        <f t="shared" si="4"/>
        <v>0.4331183001177939</v>
      </c>
      <c r="J32" s="140"/>
      <c r="L32" s="47"/>
    </row>
    <row r="33" spans="1:12" ht="15.75">
      <c r="A33" s="204" t="str">
        <f t="shared" si="1"/>
        <v>AES Corporation</v>
      </c>
      <c r="B33" s="250" t="str">
        <f t="shared" si="1"/>
        <v>AES</v>
      </c>
      <c r="C33" s="2" t="str">
        <f t="shared" si="1"/>
        <v>Wholesale Power</v>
      </c>
      <c r="D33" s="251">
        <f>(+H20)*G20</f>
        <v>16089730171.25</v>
      </c>
      <c r="E33" s="251">
        <f>(1/1)*I20</f>
        <v>825000000</v>
      </c>
      <c r="F33" s="251">
        <f>J20*(16091/14811)</f>
        <v>16263741138.343124</v>
      </c>
      <c r="G33" s="45">
        <f t="shared" si="2"/>
        <v>33178471309.593124</v>
      </c>
      <c r="H33" s="253">
        <f t="shared" si="3"/>
        <v>0.48494489155676873</v>
      </c>
      <c r="I33" s="253">
        <f t="shared" si="4"/>
        <v>0.51505510844323132</v>
      </c>
      <c r="J33" s="140"/>
      <c r="L33" s="47"/>
    </row>
    <row r="34" spans="1:12" ht="16.5" thickBot="1">
      <c r="A34" s="211" t="str">
        <f t="shared" si="1"/>
        <v>Vistra Energy</v>
      </c>
      <c r="B34" s="254" t="str">
        <f t="shared" si="1"/>
        <v>VST</v>
      </c>
      <c r="C34" s="17" t="str">
        <f>+C21</f>
        <v>Wholesale Power</v>
      </c>
      <c r="D34" s="255">
        <f t="shared" ref="D34" si="5">(+H21)*G21</f>
        <v>10680783033.690001</v>
      </c>
      <c r="E34" s="255">
        <f t="shared" ref="E34" si="6">(1/1)*I21</f>
        <v>2000000000</v>
      </c>
      <c r="F34" s="255">
        <f>J21*(2518/2549)</f>
        <v>10600493526.873283</v>
      </c>
      <c r="G34" s="52">
        <f t="shared" si="2"/>
        <v>23281276560.563286</v>
      </c>
      <c r="H34" s="256">
        <f t="shared" si="3"/>
        <v>0.45877136530315676</v>
      </c>
      <c r="I34" s="256">
        <f t="shared" si="4"/>
        <v>0.54122863469684312</v>
      </c>
      <c r="J34" s="140" t="s">
        <v>6</v>
      </c>
      <c r="L34" s="47"/>
    </row>
    <row r="36" spans="1:12" ht="15.75">
      <c r="A36" t="s">
        <v>248</v>
      </c>
      <c r="J36" s="140" t="s">
        <v>6</v>
      </c>
    </row>
    <row r="37" spans="1:12" ht="15.75">
      <c r="C37" s="56" t="s">
        <v>6</v>
      </c>
      <c r="D37" s="77" t="s">
        <v>6</v>
      </c>
      <c r="E37" s="77"/>
      <c r="F37" t="s">
        <v>6</v>
      </c>
      <c r="G37" s="77" t="s">
        <v>54</v>
      </c>
      <c r="H37" s="54" t="s">
        <v>249</v>
      </c>
      <c r="I37" s="54" t="s">
        <v>250</v>
      </c>
      <c r="J37" s="54" t="s">
        <v>6</v>
      </c>
    </row>
    <row r="38" spans="1:12" ht="15.75">
      <c r="C38" s="56" t="s">
        <v>6</v>
      </c>
      <c r="D38" s="57" t="s">
        <v>6</v>
      </c>
      <c r="E38" s="57"/>
      <c r="F38" t="s">
        <v>6</v>
      </c>
      <c r="G38" s="77" t="s">
        <v>58</v>
      </c>
      <c r="H38" s="228">
        <f>MEDIAN(H30:H34)</f>
        <v>0.48494489155676873</v>
      </c>
      <c r="I38" s="11">
        <f>MEDIAN(I30:I34)</f>
        <v>0.51505510844323132</v>
      </c>
      <c r="J38" s="15" t="s">
        <v>6</v>
      </c>
    </row>
    <row r="39" spans="1:12" ht="15.75">
      <c r="C39" s="56" t="s">
        <v>6</v>
      </c>
      <c r="D39" s="57" t="s">
        <v>6</v>
      </c>
      <c r="E39" s="57"/>
      <c r="F39" t="s">
        <v>6</v>
      </c>
      <c r="G39" s="77" t="s">
        <v>29</v>
      </c>
      <c r="H39" s="228">
        <f>AVERAGE(H30:H34)</f>
        <v>0.51020389865756</v>
      </c>
      <c r="I39" s="11">
        <f>AVERAGE(I30:I34)</f>
        <v>0.48979610134244</v>
      </c>
      <c r="J39" s="15" t="s">
        <v>6</v>
      </c>
    </row>
    <row r="40" spans="1:12" ht="15.75">
      <c r="H40" s="24"/>
      <c r="I40" s="24"/>
      <c r="J40" s="24" t="s">
        <v>6</v>
      </c>
    </row>
    <row r="41" spans="1:12" ht="21">
      <c r="G41" s="58" t="s">
        <v>20</v>
      </c>
      <c r="H41" s="230">
        <v>0.48</v>
      </c>
      <c r="I41" s="59">
        <v>0.52</v>
      </c>
      <c r="J41" s="231" t="s">
        <v>6</v>
      </c>
    </row>
    <row r="42" spans="1:12" ht="15.75">
      <c r="H42" s="24"/>
      <c r="I42" s="24"/>
      <c r="J42" s="24" t="s">
        <v>6</v>
      </c>
    </row>
  </sheetData>
  <pageMargins left="0.25" right="0.25" top="0.75" bottom="0.75" header="0.3" footer="0.3"/>
  <pageSetup scale="41" orientation="landscape" r:id="rId1"/>
  <rowBreaks count="2" manualBreakCount="2">
    <brk id="41" max="10" man="1"/>
    <brk id="45" max="10" man="1"/>
  </rowBreaks>
  <colBreaks count="1" manualBreakCount="1">
    <brk id="11" max="71" man="1"/>
  </col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C72F-50FD-4205-AF28-280A5D4CF82B}">
  <sheetPr codeName="Sheet51"/>
  <dimension ref="A1:K25"/>
  <sheetViews>
    <sheetView zoomScaleNormal="100" workbookViewId="0">
      <pane xSplit="1" topLeftCell="B1" activePane="topRight" state="frozen"/>
      <selection activeCell="L12" sqref="L12"/>
      <selection pane="topRight" activeCell="L12" sqref="L12"/>
    </sheetView>
  </sheetViews>
  <sheetFormatPr defaultRowHeight="15"/>
  <cols>
    <col min="1" max="1" width="40.85546875" customWidth="1"/>
    <col min="2" max="2" width="10.85546875" bestFit="1" customWidth="1"/>
    <col min="3" max="3" width="19.140625" bestFit="1" customWidth="1"/>
    <col min="4" max="5" width="19.140625" customWidth="1"/>
    <col min="6" max="6" width="13.7109375" customWidth="1"/>
    <col min="7" max="7" width="18.28515625" customWidth="1"/>
    <col min="8" max="8" width="16.28515625" customWidth="1"/>
    <col min="9" max="9" width="14.5703125" customWidth="1"/>
    <col min="10" max="10" width="14.140625" bestFit="1" customWidth="1"/>
  </cols>
  <sheetData>
    <row r="1" spans="1:11" ht="21">
      <c r="A1" s="23" t="s">
        <v>0</v>
      </c>
    </row>
    <row r="2" spans="1:11" ht="15.75">
      <c r="A2" s="192" t="s">
        <v>1</v>
      </c>
    </row>
    <row r="3" spans="1:11">
      <c r="A3" s="190" t="s">
        <v>2</v>
      </c>
    </row>
    <row r="4" spans="1:11">
      <c r="F4" s="4" t="s">
        <v>6</v>
      </c>
      <c r="G4" s="4"/>
    </row>
    <row r="5" spans="1:11" ht="15.75">
      <c r="A5" s="66" t="s">
        <v>238</v>
      </c>
    </row>
    <row r="6" spans="1:11" ht="15.75" thickBot="1">
      <c r="A6" s="67" t="s">
        <v>6</v>
      </c>
      <c r="B6" s="67" t="s">
        <v>6</v>
      </c>
      <c r="C6" s="67" t="s">
        <v>6</v>
      </c>
      <c r="D6" s="67" t="s">
        <v>6</v>
      </c>
      <c r="E6" s="67" t="s">
        <v>6</v>
      </c>
      <c r="F6" s="67" t="s">
        <v>6</v>
      </c>
      <c r="G6" s="67"/>
      <c r="H6" s="67" t="s">
        <v>6</v>
      </c>
      <c r="I6" s="67" t="s">
        <v>6</v>
      </c>
    </row>
    <row r="7" spans="1:11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217</v>
      </c>
      <c r="H7" s="3" t="s">
        <v>75</v>
      </c>
      <c r="I7" s="3" t="s">
        <v>75</v>
      </c>
    </row>
    <row r="8" spans="1:11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1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1">
      <c r="A10" s="3"/>
      <c r="B10" s="3"/>
      <c r="C10" s="3"/>
      <c r="D10" s="3"/>
      <c r="E10" s="3"/>
      <c r="F10" s="3"/>
      <c r="G10" s="3"/>
      <c r="H10" s="3"/>
      <c r="I10" s="3"/>
    </row>
    <row r="12" spans="1:11">
      <c r="A12" s="102" t="s">
        <v>239</v>
      </c>
      <c r="B12" s="3" t="s">
        <v>240</v>
      </c>
      <c r="C12" s="3" t="s">
        <v>241</v>
      </c>
      <c r="D12" s="68">
        <v>0.95</v>
      </c>
      <c r="E12" s="69">
        <v>0.125</v>
      </c>
      <c r="F12" s="3" t="s">
        <v>80</v>
      </c>
      <c r="G12" s="3" t="s">
        <v>220</v>
      </c>
      <c r="H12" s="68" t="s">
        <v>146</v>
      </c>
      <c r="I12" s="69">
        <v>3.3500000000000002E-2</v>
      </c>
      <c r="J12" t="s">
        <v>6</v>
      </c>
    </row>
    <row r="13" spans="1:11">
      <c r="A13" s="102" t="s">
        <v>242</v>
      </c>
      <c r="B13" s="3" t="s">
        <v>243</v>
      </c>
      <c r="C13" s="3" t="s">
        <v>241</v>
      </c>
      <c r="D13" s="68">
        <v>1.1499999999999999</v>
      </c>
      <c r="E13" s="69">
        <v>0.33</v>
      </c>
      <c r="F13" s="3" t="s">
        <v>78</v>
      </c>
      <c r="G13" s="3" t="s">
        <v>251</v>
      </c>
      <c r="H13" s="68" t="s">
        <v>79</v>
      </c>
      <c r="I13" s="69">
        <v>6.83E-2</v>
      </c>
    </row>
    <row r="14" spans="1:11">
      <c r="A14" s="102" t="s">
        <v>224</v>
      </c>
      <c r="B14" s="3" t="s">
        <v>209</v>
      </c>
      <c r="C14" s="3" t="s">
        <v>241</v>
      </c>
      <c r="D14" s="68">
        <v>0.95</v>
      </c>
      <c r="E14" s="69">
        <v>0.13500000000000001</v>
      </c>
      <c r="F14" s="3" t="s">
        <v>218</v>
      </c>
      <c r="G14" s="3" t="s">
        <v>220</v>
      </c>
      <c r="H14" s="68" t="s">
        <v>146</v>
      </c>
      <c r="I14" s="69">
        <v>3.3500000000000002E-2</v>
      </c>
      <c r="K14" s="182" t="s">
        <v>6</v>
      </c>
    </row>
    <row r="15" spans="1:11">
      <c r="A15" s="102" t="s">
        <v>244</v>
      </c>
      <c r="B15" s="70" t="s">
        <v>245</v>
      </c>
      <c r="C15" s="3" t="s">
        <v>241</v>
      </c>
      <c r="D15" s="68">
        <v>1.1000000000000001</v>
      </c>
      <c r="E15" s="69">
        <v>0.38</v>
      </c>
      <c r="F15" s="3" t="s">
        <v>124</v>
      </c>
      <c r="G15" s="3" t="s">
        <v>222</v>
      </c>
      <c r="H15" s="68" t="s">
        <v>81</v>
      </c>
      <c r="I15" s="69">
        <v>6.0699999999999997E-2</v>
      </c>
      <c r="J15" t="s">
        <v>6</v>
      </c>
    </row>
    <row r="16" spans="1:11">
      <c r="A16" s="102" t="s">
        <v>246</v>
      </c>
      <c r="B16" s="3" t="s">
        <v>247</v>
      </c>
      <c r="C16" s="3" t="s">
        <v>241</v>
      </c>
      <c r="D16" s="68">
        <v>1.1000000000000001</v>
      </c>
      <c r="E16" s="69">
        <v>0.29899999999999999</v>
      </c>
      <c r="F16" s="3" t="s">
        <v>78</v>
      </c>
      <c r="G16" s="70" t="s">
        <v>125</v>
      </c>
      <c r="H16" s="68" t="s">
        <v>81</v>
      </c>
      <c r="I16" s="69">
        <v>6.0699999999999997E-2</v>
      </c>
    </row>
    <row r="17" spans="1:10" ht="15.75" thickBot="1">
      <c r="C17" s="22"/>
      <c r="D17" s="73"/>
      <c r="E17" s="73"/>
      <c r="F17" s="73"/>
      <c r="G17" s="73"/>
      <c r="H17" s="73" t="s">
        <v>225</v>
      </c>
      <c r="I17" s="73"/>
    </row>
    <row r="18" spans="1:10" ht="15.75" thickTop="1">
      <c r="C18" s="77" t="s">
        <v>54</v>
      </c>
      <c r="D18" s="150" t="s">
        <v>252</v>
      </c>
      <c r="E18" s="150" t="s">
        <v>253</v>
      </c>
      <c r="F18" s="3" t="s">
        <v>254</v>
      </c>
      <c r="G18" s="3" t="s">
        <v>255</v>
      </c>
      <c r="H18" s="150" t="s">
        <v>256</v>
      </c>
      <c r="I18" s="150" t="s">
        <v>257</v>
      </c>
    </row>
    <row r="19" spans="1:10">
      <c r="C19" s="77" t="s">
        <v>58</v>
      </c>
      <c r="D19" s="78">
        <f>MEDIAN(D12:D16)</f>
        <v>1.1000000000000001</v>
      </c>
      <c r="E19" s="79">
        <f>MEDIAN(E12:E16)</f>
        <v>0.29899999999999999</v>
      </c>
      <c r="F19" s="77" t="s">
        <v>6</v>
      </c>
      <c r="G19" s="77"/>
      <c r="H19" s="109" t="s">
        <v>6</v>
      </c>
      <c r="I19" s="109">
        <f>MEDIAN(I12:I16)</f>
        <v>6.0699999999999997E-2</v>
      </c>
    </row>
    <row r="20" spans="1:10">
      <c r="C20" s="77" t="s">
        <v>29</v>
      </c>
      <c r="D20" s="80">
        <f>AVERAGE(D12:D16)</f>
        <v>1.05</v>
      </c>
      <c r="E20" s="81">
        <f>AVERAGE(E12:E16)</f>
        <v>0.25380000000000003</v>
      </c>
      <c r="F20" s="77" t="s">
        <v>6</v>
      </c>
      <c r="G20" s="77"/>
      <c r="H20" s="12" t="s">
        <v>6</v>
      </c>
      <c r="I20" s="12">
        <f>AVERAGE(I12:I16)</f>
        <v>5.1339999999999997E-2</v>
      </c>
    </row>
    <row r="22" spans="1:10" ht="21">
      <c r="H22" s="58" t="s">
        <v>82</v>
      </c>
      <c r="I22" s="105">
        <v>6.0699999999999997E-2</v>
      </c>
      <c r="J22" s="152" t="s">
        <v>6</v>
      </c>
    </row>
    <row r="24" spans="1:10">
      <c r="A24" s="56" t="s">
        <v>258</v>
      </c>
    </row>
    <row r="25" spans="1:10">
      <c r="A25" s="56" t="s">
        <v>259</v>
      </c>
    </row>
  </sheetData>
  <pageMargins left="0.25" right="0.25" top="0.75" bottom="0.75" header="0.3" footer="0.3"/>
  <pageSetup scale="65" orientation="landscape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C965-CA09-4370-A4BB-78CC9BF24D5F}">
  <sheetPr codeName="Sheet52"/>
  <dimension ref="A1:H45"/>
  <sheetViews>
    <sheetView topLeftCell="A6" zoomScaleNormal="100" workbookViewId="0">
      <selection activeCell="L12" sqref="L12"/>
    </sheetView>
  </sheetViews>
  <sheetFormatPr defaultRowHeight="15"/>
  <cols>
    <col min="1" max="1" width="43.7109375" customWidth="1"/>
    <col min="2" max="2" width="12.5703125" customWidth="1"/>
    <col min="3" max="3" width="18.140625" customWidth="1"/>
    <col min="4" max="4" width="22.140625" customWidth="1"/>
    <col min="5" max="5" width="22.5703125" customWidth="1"/>
    <col min="6" max="6" width="14.7109375" bestFit="1" customWidth="1"/>
    <col min="7" max="7" width="23.5703125" customWidth="1"/>
  </cols>
  <sheetData>
    <row r="1" spans="1:7" ht="21">
      <c r="A1" s="23" t="s">
        <v>0</v>
      </c>
    </row>
    <row r="2" spans="1:7" ht="15.75">
      <c r="A2" s="24" t="s">
        <v>1</v>
      </c>
    </row>
    <row r="3" spans="1:7">
      <c r="A3" s="22" t="s">
        <v>2</v>
      </c>
    </row>
    <row r="4" spans="1:7">
      <c r="E4" s="4" t="s">
        <v>6</v>
      </c>
    </row>
    <row r="5" spans="1:7" ht="15.75">
      <c r="A5" s="66" t="s">
        <v>238</v>
      </c>
    </row>
    <row r="6" spans="1:7" ht="15.75">
      <c r="A6" s="66"/>
    </row>
    <row r="7" spans="1:7" ht="18.75">
      <c r="A7" s="66"/>
      <c r="E7" s="84" t="s">
        <v>83</v>
      </c>
    </row>
    <row r="8" spans="1:7" ht="18.75">
      <c r="A8" s="66"/>
      <c r="E8" s="84" t="s">
        <v>84</v>
      </c>
    </row>
    <row r="9" spans="1:7" ht="15.75">
      <c r="A9" s="66"/>
      <c r="E9" s="257" t="s">
        <v>6</v>
      </c>
    </row>
    <row r="10" spans="1:7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  <c r="G10" s="67" t="s">
        <v>6</v>
      </c>
    </row>
    <row r="11" spans="1:7">
      <c r="A11" s="3" t="s">
        <v>6</v>
      </c>
      <c r="B11" s="3" t="s">
        <v>26</v>
      </c>
      <c r="C11" s="3" t="s">
        <v>27</v>
      </c>
      <c r="D11" s="3" t="s">
        <v>6</v>
      </c>
      <c r="E11" s="3" t="s">
        <v>85</v>
      </c>
      <c r="F11" s="3" t="s">
        <v>85</v>
      </c>
      <c r="G11" s="3" t="s">
        <v>86</v>
      </c>
    </row>
    <row r="12" spans="1:7" ht="15.75" thickBot="1">
      <c r="A12" s="7" t="s">
        <v>33</v>
      </c>
      <c r="B12" s="7" t="s">
        <v>34</v>
      </c>
      <c r="C12" s="7" t="s">
        <v>35</v>
      </c>
      <c r="D12" s="7" t="s">
        <v>87</v>
      </c>
      <c r="E12" s="7" t="s">
        <v>88</v>
      </c>
      <c r="F12" s="7" t="s">
        <v>89</v>
      </c>
      <c r="G12" s="7" t="s">
        <v>90</v>
      </c>
    </row>
    <row r="13" spans="1:7">
      <c r="A13" s="8" t="s">
        <v>6</v>
      </c>
      <c r="B13" s="8" t="s">
        <v>6</v>
      </c>
      <c r="C13" s="8" t="s">
        <v>40</v>
      </c>
      <c r="D13" s="8" t="s">
        <v>40</v>
      </c>
      <c r="E13" s="154" t="s">
        <v>147</v>
      </c>
      <c r="F13" s="8" t="s">
        <v>6</v>
      </c>
      <c r="G13" s="8" t="s">
        <v>6</v>
      </c>
    </row>
    <row r="14" spans="1:7">
      <c r="A14" s="3"/>
      <c r="B14" s="3"/>
      <c r="C14" s="3"/>
      <c r="D14" s="3"/>
      <c r="E14" s="3"/>
      <c r="F14" s="3"/>
      <c r="G14" s="3"/>
    </row>
    <row r="16" spans="1:7" ht="15.75">
      <c r="A16" s="102" t="s">
        <v>239</v>
      </c>
      <c r="B16" s="70" t="s">
        <v>240</v>
      </c>
      <c r="C16" s="3" t="s">
        <v>241</v>
      </c>
      <c r="D16" s="43">
        <f>'[6]S&amp;D'!G17</f>
        <v>41.19</v>
      </c>
      <c r="E16" s="68">
        <v>9.6</v>
      </c>
      <c r="F16" s="68">
        <f t="shared" ref="F16:F19" si="0">D16/E16</f>
        <v>4.2906250000000004</v>
      </c>
      <c r="G16" s="69">
        <f t="shared" ref="G16:G19" si="1">1/F16</f>
        <v>0.2330662782228696</v>
      </c>
    </row>
    <row r="17" spans="1:8" ht="15.75">
      <c r="A17" s="22" t="s">
        <v>242</v>
      </c>
      <c r="B17" s="3" t="s">
        <v>243</v>
      </c>
      <c r="C17" s="3" t="s">
        <v>241</v>
      </c>
      <c r="D17" s="43">
        <f>'[6]S&amp;D'!G18</f>
        <v>43.08</v>
      </c>
      <c r="E17" s="68">
        <v>13.95</v>
      </c>
      <c r="F17" s="86">
        <f t="shared" si="0"/>
        <v>3.0881720430107529</v>
      </c>
      <c r="G17" s="12">
        <f t="shared" si="1"/>
        <v>0.32381615598885793</v>
      </c>
    </row>
    <row r="18" spans="1:8" ht="15.75">
      <c r="A18" s="102" t="s">
        <v>224</v>
      </c>
      <c r="B18" s="70" t="s">
        <v>209</v>
      </c>
      <c r="C18" s="3" t="s">
        <v>241</v>
      </c>
      <c r="D18" s="43">
        <f>'[6]S&amp;D'!G19</f>
        <v>68.58</v>
      </c>
      <c r="E18" s="68">
        <v>7.2</v>
      </c>
      <c r="F18" s="68">
        <f t="shared" si="0"/>
        <v>9.5250000000000004</v>
      </c>
      <c r="G18" s="69">
        <f t="shared" si="1"/>
        <v>0.10498687664041995</v>
      </c>
    </row>
    <row r="19" spans="1:8" ht="15.75">
      <c r="A19" s="102" t="s">
        <v>244</v>
      </c>
      <c r="B19" s="70" t="s">
        <v>245</v>
      </c>
      <c r="C19" s="3" t="s">
        <v>241</v>
      </c>
      <c r="D19" s="43">
        <v>24.13</v>
      </c>
      <c r="E19" s="68">
        <v>1.05</v>
      </c>
      <c r="F19" s="68">
        <f t="shared" si="0"/>
        <v>22.980952380952377</v>
      </c>
      <c r="G19" s="69">
        <f t="shared" si="1"/>
        <v>4.3514297554910909E-2</v>
      </c>
      <c r="H19" s="187" t="s">
        <v>6</v>
      </c>
    </row>
    <row r="20" spans="1:8" ht="15.75">
      <c r="A20" s="102" t="s">
        <v>246</v>
      </c>
      <c r="B20" s="70" t="s">
        <v>247</v>
      </c>
      <c r="C20" s="3" t="s">
        <v>241</v>
      </c>
      <c r="D20" s="43">
        <f>'[6]S&amp;D'!G21</f>
        <v>22.77</v>
      </c>
      <c r="E20" s="68">
        <v>1.02</v>
      </c>
      <c r="F20" s="68">
        <f>D20/E20</f>
        <v>22.323529411764707</v>
      </c>
      <c r="G20" s="69">
        <f>1/F20</f>
        <v>4.4795783926218705E-2</v>
      </c>
    </row>
    <row r="21" spans="1:8" ht="15.75" thickBot="1">
      <c r="C21" s="73"/>
      <c r="D21" s="76"/>
      <c r="E21" s="76"/>
      <c r="F21" s="76"/>
      <c r="G21" s="76"/>
    </row>
    <row r="22" spans="1:8" ht="15.75" thickTop="1">
      <c r="B22" s="77" t="s">
        <v>6</v>
      </c>
      <c r="C22" s="77" t="s">
        <v>54</v>
      </c>
      <c r="D22" s="234" t="s">
        <v>260</v>
      </c>
      <c r="E22" s="234" t="s">
        <v>261</v>
      </c>
      <c r="F22" s="234" t="s">
        <v>262</v>
      </c>
      <c r="G22" s="234" t="s">
        <v>263</v>
      </c>
    </row>
    <row r="23" spans="1:8">
      <c r="B23" s="77" t="s">
        <v>6</v>
      </c>
      <c r="C23" s="77" t="s">
        <v>58</v>
      </c>
      <c r="D23" s="235">
        <f>MEDIAN(D16:D20)</f>
        <v>41.19</v>
      </c>
      <c r="E23" s="155">
        <f>MEDIAN(E16:E20)</f>
        <v>7.2</v>
      </c>
      <c r="F23" s="80">
        <f>MEDIAN(F16:F20)</f>
        <v>9.5250000000000004</v>
      </c>
      <c r="G23" s="81">
        <f>MEDIAN(G16:G20)</f>
        <v>0.10498687664041995</v>
      </c>
    </row>
    <row r="24" spans="1:8">
      <c r="B24" s="77" t="s">
        <v>6</v>
      </c>
      <c r="C24" s="77" t="s">
        <v>29</v>
      </c>
      <c r="D24" s="80">
        <f>AVERAGE(D16:D20)</f>
        <v>39.950000000000003</v>
      </c>
      <c r="E24" s="78">
        <f>AVERAGE(E16:E20)</f>
        <v>6.5640000000000001</v>
      </c>
      <c r="F24" s="80">
        <f>AVERAGE(F16:F20)</f>
        <v>12.441655767145567</v>
      </c>
      <c r="G24" s="236">
        <f>AVERAGE(G16:G20)</f>
        <v>0.15003587846665542</v>
      </c>
    </row>
    <row r="26" spans="1:8" ht="21">
      <c r="F26" s="58" t="s">
        <v>20</v>
      </c>
      <c r="G26" s="105">
        <v>0.105</v>
      </c>
    </row>
    <row r="28" spans="1:8">
      <c r="A28" s="56" t="s">
        <v>6</v>
      </c>
    </row>
    <row r="29" spans="1:8">
      <c r="A29" s="56" t="s">
        <v>259</v>
      </c>
    </row>
    <row r="30" spans="1:8">
      <c r="A30" s="258" t="s">
        <v>6</v>
      </c>
    </row>
    <row r="31" spans="1:8" ht="23.25">
      <c r="A31" s="259" t="s">
        <v>264</v>
      </c>
      <c r="B31" s="260"/>
      <c r="C31" s="260"/>
    </row>
    <row r="32" spans="1:8" ht="17.25" customHeight="1">
      <c r="A32" s="259"/>
      <c r="B32" s="260"/>
      <c r="C32" s="260"/>
    </row>
    <row r="33" spans="1:5">
      <c r="A33" s="261" t="s">
        <v>265</v>
      </c>
      <c r="B33" s="260"/>
      <c r="C33" s="260"/>
    </row>
    <row r="34" spans="1:5">
      <c r="A34" s="261" t="s">
        <v>266</v>
      </c>
      <c r="B34" s="260"/>
      <c r="C34" s="260"/>
    </row>
    <row r="35" spans="1:5">
      <c r="A35" s="261" t="s">
        <v>267</v>
      </c>
      <c r="B35" s="260"/>
      <c r="C35" s="260"/>
    </row>
    <row r="36" spans="1:5">
      <c r="A36" s="261" t="s">
        <v>268</v>
      </c>
      <c r="B36" s="260"/>
      <c r="C36" s="260"/>
    </row>
    <row r="37" spans="1:5">
      <c r="A37" s="261" t="s">
        <v>269</v>
      </c>
      <c r="B37" s="260"/>
      <c r="C37" s="260"/>
    </row>
    <row r="38" spans="1:5">
      <c r="A38" s="261" t="s">
        <v>270</v>
      </c>
    </row>
    <row r="39" spans="1:5">
      <c r="A39" s="262" t="s">
        <v>271</v>
      </c>
      <c r="B39" s="263"/>
      <c r="C39" s="263"/>
      <c r="D39" s="263"/>
      <c r="E39" s="263"/>
    </row>
    <row r="40" spans="1:5">
      <c r="A40" s="261"/>
    </row>
    <row r="41" spans="1:5" ht="23.25">
      <c r="A41" s="259" t="s">
        <v>272</v>
      </c>
      <c r="B41" s="260"/>
      <c r="C41" s="260"/>
      <c r="D41" s="260"/>
    </row>
    <row r="42" spans="1:5" ht="12" customHeight="1">
      <c r="A42" s="259"/>
      <c r="B42" s="260"/>
      <c r="C42" s="260"/>
      <c r="D42" s="260"/>
    </row>
    <row r="43" spans="1:5" ht="12" customHeight="1">
      <c r="A43" s="264" t="s">
        <v>273</v>
      </c>
      <c r="B43" s="265"/>
      <c r="C43" s="265"/>
      <c r="D43" s="265"/>
      <c r="E43" s="266"/>
    </row>
    <row r="44" spans="1:5">
      <c r="A44" s="261" t="s">
        <v>274</v>
      </c>
      <c r="B44" s="260"/>
      <c r="C44" s="260"/>
      <c r="D44" s="260"/>
    </row>
    <row r="45" spans="1:5">
      <c r="B45" s="260"/>
      <c r="C45" s="260"/>
      <c r="D45" s="260"/>
    </row>
  </sheetData>
  <pageMargins left="0.25" right="0.25" top="0.75" bottom="0.75" header="0.3" footer="0.3"/>
  <pageSetup scale="6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DD9B-C4C0-4058-881D-0B6C6C518B05}">
  <sheetPr codeName="Sheet55">
    <pageSetUpPr fitToPage="1"/>
  </sheetPr>
  <dimension ref="A1:F24"/>
  <sheetViews>
    <sheetView topLeftCell="A15" zoomScaleNormal="100" workbookViewId="0">
      <selection activeCell="D32" sqref="D3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6" ht="21">
      <c r="C1" s="1" t="s">
        <v>0</v>
      </c>
    </row>
    <row r="2" spans="1:6" ht="15.75">
      <c r="C2" s="2" t="s">
        <v>1</v>
      </c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275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</row>
    <row r="17" spans="1:6">
      <c r="A17" s="3"/>
      <c r="B17" s="3"/>
      <c r="C17" s="3"/>
      <c r="D17" s="3"/>
      <c r="E17" s="3"/>
      <c r="F17" s="3"/>
    </row>
    <row r="18" spans="1:6" ht="15.75">
      <c r="A18" s="2" t="s">
        <v>17</v>
      </c>
      <c r="B18" s="9">
        <f>'S&amp;D_GAS DIST'!H59</f>
        <v>0.56340000000000001</v>
      </c>
      <c r="C18" s="9">
        <f>+'[7]CF Multiples'!G34</f>
        <v>0.10340000000000001</v>
      </c>
      <c r="D18" s="2" t="s">
        <v>177</v>
      </c>
      <c r="E18" s="10">
        <f>+C18</f>
        <v>0.10340000000000001</v>
      </c>
      <c r="F18" s="11">
        <f>+E18*B18</f>
        <v>5.8255560000000005E-2</v>
      </c>
    </row>
    <row r="19" spans="1:6" ht="15.75">
      <c r="A19" s="2" t="s">
        <v>6</v>
      </c>
      <c r="B19" s="13" t="s">
        <v>6</v>
      </c>
      <c r="C19" s="13" t="s">
        <v>6</v>
      </c>
      <c r="D19" s="2" t="s">
        <v>6</v>
      </c>
      <c r="E19" s="14" t="s">
        <v>6</v>
      </c>
      <c r="F19" s="15" t="s">
        <v>6</v>
      </c>
    </row>
    <row r="20" spans="1:6" ht="15.75">
      <c r="A20" s="2" t="s">
        <v>18</v>
      </c>
      <c r="B20" s="9">
        <f>'S&amp;D_GAS DIST'!I59</f>
        <v>0.43659999999999999</v>
      </c>
      <c r="C20" s="9">
        <f>+[7]Debt!I30</f>
        <v>3.3500000000000002E-2</v>
      </c>
      <c r="D20" s="9">
        <v>0.26</v>
      </c>
      <c r="E20" s="10">
        <f>+C20*(1-D20)</f>
        <v>2.479E-2</v>
      </c>
      <c r="F20" s="11">
        <f>+B20*E20</f>
        <v>1.0823313999999999E-2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</row>
    <row r="22" spans="1:6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6.9078873999999998E-2</v>
      </c>
    </row>
    <row r="23" spans="1:6" ht="15.75">
      <c r="A23" s="24"/>
      <c r="B23" s="24"/>
      <c r="C23" s="24"/>
      <c r="D23" s="24"/>
      <c r="E23" s="24"/>
      <c r="F23" s="24"/>
    </row>
    <row r="24" spans="1:6" ht="15.75">
      <c r="E24" s="14" t="s">
        <v>20</v>
      </c>
      <c r="F24" s="11">
        <v>6.88E-2</v>
      </c>
    </row>
  </sheetData>
  <pageMargins left="0.25" right="0.25" top="0.75" bottom="0.75" header="0.3" footer="0.3"/>
  <pageSetup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DD92-D965-4BF4-900E-73F9321CF9CF}">
  <sheetPr codeName="Sheet56">
    <pageSetUpPr fitToPage="1"/>
  </sheetPr>
  <dimension ref="A1:M60"/>
  <sheetViews>
    <sheetView topLeftCell="A41" zoomScale="80" zoomScaleNormal="80" zoomScalePageLayoutView="70" workbookViewId="0">
      <pane xSplit="1" topLeftCell="B1" activePane="topRight" state="frozen"/>
      <selection activeCell="L12" sqref="L12"/>
      <selection pane="topRight" activeCell="H59" sqref="H59"/>
    </sheetView>
  </sheetViews>
  <sheetFormatPr defaultRowHeight="15"/>
  <cols>
    <col min="1" max="1" width="55.7109375" customWidth="1"/>
    <col min="2" max="2" width="10.85546875" bestFit="1" customWidth="1"/>
    <col min="3" max="4" width="20.85546875" customWidth="1"/>
    <col min="5" max="5" width="17.7109375" bestFit="1" customWidth="1"/>
    <col min="6" max="6" width="21.42578125" bestFit="1" customWidth="1"/>
    <col min="7" max="7" width="23.140625" bestFit="1" customWidth="1"/>
    <col min="8" max="8" width="28.140625" customWidth="1"/>
    <col min="9" max="9" width="27.28515625" customWidth="1"/>
    <col min="10" max="10" width="26.28515625" customWidth="1"/>
    <col min="11" max="11" width="26.42578125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ht="20.25">
      <c r="A9" s="30" t="s">
        <v>276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267"/>
      <c r="C11" s="34"/>
      <c r="D11" s="267"/>
      <c r="E11" s="267"/>
      <c r="F11" s="267"/>
      <c r="G11" s="267"/>
      <c r="H11" s="35" t="s">
        <v>23</v>
      </c>
      <c r="I11" s="195" t="s">
        <v>6</v>
      </c>
      <c r="J11" s="268"/>
    </row>
    <row r="12" spans="1:12" ht="15.75">
      <c r="A12" s="36"/>
      <c r="B12" s="193"/>
      <c r="C12" s="36"/>
      <c r="D12" s="194" t="s">
        <v>24</v>
      </c>
      <c r="E12" s="194" t="s">
        <v>24</v>
      </c>
      <c r="F12" s="194" t="s">
        <v>24</v>
      </c>
      <c r="G12" s="193"/>
      <c r="H12" s="35" t="s">
        <v>25</v>
      </c>
      <c r="I12" s="193" t="s">
        <v>23</v>
      </c>
      <c r="J12" s="195" t="s">
        <v>23</v>
      </c>
    </row>
    <row r="13" spans="1:12" ht="15.75">
      <c r="A13" s="36" t="s">
        <v>6</v>
      </c>
      <c r="B13" s="193" t="s">
        <v>26</v>
      </c>
      <c r="C13" s="36" t="s">
        <v>27</v>
      </c>
      <c r="D13" s="194" t="s">
        <v>28</v>
      </c>
      <c r="E13" s="194" t="s">
        <v>28</v>
      </c>
      <c r="F13" s="194" t="s">
        <v>29</v>
      </c>
      <c r="G13" s="195" t="s">
        <v>23</v>
      </c>
      <c r="H13" s="36" t="s">
        <v>30</v>
      </c>
      <c r="I13" s="196" t="s">
        <v>31</v>
      </c>
      <c r="J13" s="197" t="s">
        <v>47</v>
      </c>
    </row>
    <row r="14" spans="1:12" ht="16.5" thickBot="1">
      <c r="A14" s="39" t="s">
        <v>33</v>
      </c>
      <c r="B14" s="200" t="s">
        <v>34</v>
      </c>
      <c r="C14" s="39" t="s">
        <v>35</v>
      </c>
      <c r="D14" s="200" t="s">
        <v>36</v>
      </c>
      <c r="E14" s="200" t="s">
        <v>37</v>
      </c>
      <c r="F14" s="200" t="s">
        <v>28</v>
      </c>
      <c r="G14" s="200" t="s">
        <v>28</v>
      </c>
      <c r="H14" s="40" t="s">
        <v>38</v>
      </c>
      <c r="I14" s="201" t="s">
        <v>155</v>
      </c>
      <c r="J14" s="201" t="s">
        <v>155</v>
      </c>
    </row>
    <row r="15" spans="1:12" ht="15.75">
      <c r="A15" s="247" t="s">
        <v>40</v>
      </c>
      <c r="B15" s="248" t="s">
        <v>40</v>
      </c>
      <c r="C15" s="135" t="s">
        <v>40</v>
      </c>
      <c r="D15" s="248" t="s">
        <v>41</v>
      </c>
      <c r="E15" s="248" t="s">
        <v>41</v>
      </c>
      <c r="F15" s="248" t="s">
        <v>42</v>
      </c>
      <c r="G15" s="248" t="s">
        <v>40</v>
      </c>
      <c r="H15" s="135" t="s">
        <v>42</v>
      </c>
      <c r="I15" s="248" t="s">
        <v>42</v>
      </c>
      <c r="J15" s="248" t="s">
        <v>42</v>
      </c>
    </row>
    <row r="16" spans="1:12" ht="15.75">
      <c r="A16" s="114"/>
      <c r="B16" s="193"/>
      <c r="C16" s="36"/>
      <c r="D16" s="193"/>
      <c r="E16" s="193"/>
      <c r="F16" s="193"/>
      <c r="G16" s="193"/>
      <c r="H16" s="36"/>
      <c r="I16" s="203"/>
      <c r="J16" s="203"/>
    </row>
    <row r="17" spans="1:13" ht="15.75">
      <c r="A17" s="121" t="s">
        <v>277</v>
      </c>
      <c r="B17" s="205" t="s">
        <v>278</v>
      </c>
      <c r="C17" s="2" t="s">
        <v>279</v>
      </c>
      <c r="D17" s="207">
        <v>105.1</v>
      </c>
      <c r="E17" s="207">
        <v>103.58</v>
      </c>
      <c r="F17" s="207">
        <f>AVERAGE(D17,E17)</f>
        <v>104.34</v>
      </c>
      <c r="G17" s="207">
        <v>104.77</v>
      </c>
      <c r="H17" s="45">
        <v>135425081</v>
      </c>
      <c r="I17" s="208">
        <v>0</v>
      </c>
      <c r="J17" s="208">
        <f>5555177000+2401377000</f>
        <v>7956554000</v>
      </c>
      <c r="L17" s="45" t="s">
        <v>6</v>
      </c>
    </row>
    <row r="18" spans="1:13" ht="15.75">
      <c r="A18" s="121" t="s">
        <v>280</v>
      </c>
      <c r="B18" s="205" t="s">
        <v>281</v>
      </c>
      <c r="C18" s="2" t="s">
        <v>282</v>
      </c>
      <c r="D18" s="207">
        <v>70.92</v>
      </c>
      <c r="E18" s="207">
        <v>70.239999999999995</v>
      </c>
      <c r="F18" s="207">
        <f>AVERAGE(D18,E18)</f>
        <v>70.58</v>
      </c>
      <c r="G18" s="207">
        <v>70.569999999999993</v>
      </c>
      <c r="H18" s="45">
        <f>64793095-54078</f>
        <v>64739017</v>
      </c>
      <c r="I18" s="208">
        <v>0</v>
      </c>
      <c r="J18" s="208">
        <f>4126923000+0</f>
        <v>4126923000</v>
      </c>
    </row>
    <row r="19" spans="1:13" ht="15.75">
      <c r="A19" s="243" t="s">
        <v>283</v>
      </c>
      <c r="B19" s="205" t="s">
        <v>189</v>
      </c>
      <c r="C19" s="2" t="s">
        <v>282</v>
      </c>
      <c r="D19" s="206">
        <v>28.01</v>
      </c>
      <c r="E19" s="206">
        <v>27.67</v>
      </c>
      <c r="F19" s="207">
        <f t="shared" ref="F19:F27" si="0">AVERAGE(D19,E19)</f>
        <v>27.840000000000003</v>
      </c>
      <c r="G19" s="206">
        <v>27.91</v>
      </c>
      <c r="H19" s="208">
        <v>628923534</v>
      </c>
      <c r="I19" s="45">
        <f>790000000</f>
        <v>790000000</v>
      </c>
      <c r="J19" s="208">
        <f>15558000000+220000000+308000000</f>
        <v>16086000000</v>
      </c>
    </row>
    <row r="20" spans="1:13" ht="15.75">
      <c r="A20" s="243" t="s">
        <v>284</v>
      </c>
      <c r="B20" s="205" t="s">
        <v>191</v>
      </c>
      <c r="C20" s="2" t="s">
        <v>282</v>
      </c>
      <c r="D20" s="206">
        <v>65.33</v>
      </c>
      <c r="E20" s="207">
        <v>64.64</v>
      </c>
      <c r="F20" s="207">
        <f t="shared" si="0"/>
        <v>64.984999999999999</v>
      </c>
      <c r="G20" s="207">
        <v>65.05</v>
      </c>
      <c r="H20" s="45">
        <v>289800000</v>
      </c>
      <c r="I20" s="208">
        <v>557000000</v>
      </c>
      <c r="J20" s="208">
        <f>12046000000+382000000+46000000</f>
        <v>12474000000</v>
      </c>
    </row>
    <row r="21" spans="1:13" ht="15.75">
      <c r="A21" s="243" t="s">
        <v>285</v>
      </c>
      <c r="B21" s="205" t="s">
        <v>201</v>
      </c>
      <c r="C21" s="2" t="s">
        <v>282</v>
      </c>
      <c r="D21" s="210">
        <v>82.55</v>
      </c>
      <c r="E21" s="207">
        <v>81.53</v>
      </c>
      <c r="F21" s="207">
        <f t="shared" si="0"/>
        <v>82.039999999999992</v>
      </c>
      <c r="G21" s="207">
        <v>82.25</v>
      </c>
      <c r="H21" s="208">
        <v>36163000</v>
      </c>
      <c r="I21" s="208">
        <v>0</v>
      </c>
      <c r="J21" s="208">
        <f>614211000</f>
        <v>614211000</v>
      </c>
    </row>
    <row r="22" spans="1:13" ht="15.75">
      <c r="A22" s="121" t="s">
        <v>286</v>
      </c>
      <c r="B22" s="205" t="s">
        <v>287</v>
      </c>
      <c r="C22" s="2" t="s">
        <v>279</v>
      </c>
      <c r="D22" s="207">
        <v>41.24</v>
      </c>
      <c r="E22" s="207">
        <v>40.67</v>
      </c>
      <c r="F22" s="207">
        <f t="shared" si="0"/>
        <v>40.954999999999998</v>
      </c>
      <c r="G22" s="207">
        <v>41.06</v>
      </c>
      <c r="H22" s="45">
        <f>95961710</f>
        <v>95961710</v>
      </c>
      <c r="I22" s="208">
        <v>0</v>
      </c>
      <c r="J22" s="269">
        <f>2274176000+74461000</f>
        <v>2348637000</v>
      </c>
      <c r="L22" s="270" t="s">
        <v>6</v>
      </c>
    </row>
    <row r="23" spans="1:13" ht="15.75">
      <c r="A23" s="121" t="s">
        <v>288</v>
      </c>
      <c r="B23" s="205" t="s">
        <v>289</v>
      </c>
      <c r="C23" s="13" t="s">
        <v>279</v>
      </c>
      <c r="D23" s="207">
        <v>27.75</v>
      </c>
      <c r="E23" s="207">
        <v>27.47</v>
      </c>
      <c r="F23" s="207">
        <f t="shared" si="0"/>
        <v>27.61</v>
      </c>
      <c r="G23" s="207">
        <v>27.61</v>
      </c>
      <c r="H23" s="45">
        <v>405303023</v>
      </c>
      <c r="I23" s="208">
        <v>880000000</v>
      </c>
      <c r="J23" s="208">
        <f>9183400000+58100000</f>
        <v>9241500000</v>
      </c>
      <c r="L23" s="45" t="s">
        <v>6</v>
      </c>
    </row>
    <row r="24" spans="1:13" ht="15.75">
      <c r="A24" s="121" t="s">
        <v>290</v>
      </c>
      <c r="B24" s="205" t="s">
        <v>291</v>
      </c>
      <c r="C24" s="2" t="s">
        <v>279</v>
      </c>
      <c r="D24" s="207">
        <v>49</v>
      </c>
      <c r="E24" s="207">
        <v>48.41</v>
      </c>
      <c r="F24" s="207">
        <f t="shared" si="0"/>
        <v>48.704999999999998</v>
      </c>
      <c r="G24" s="207">
        <v>48.78</v>
      </c>
      <c r="H24" s="45">
        <v>31129000</v>
      </c>
      <c r="I24" s="208">
        <v>0</v>
      </c>
      <c r="J24" s="271">
        <f>1044587000+345000</f>
        <v>1044932000</v>
      </c>
      <c r="L24" s="45" t="s">
        <v>6</v>
      </c>
      <c r="M24" t="s">
        <v>6</v>
      </c>
    </row>
    <row r="25" spans="1:13" ht="15.75">
      <c r="A25" s="121" t="s">
        <v>292</v>
      </c>
      <c r="B25" s="205" t="s">
        <v>293</v>
      </c>
      <c r="C25" s="2" t="s">
        <v>279</v>
      </c>
      <c r="D25" s="207">
        <v>78.010000000000005</v>
      </c>
      <c r="E25" s="207">
        <v>76.959999999999994</v>
      </c>
      <c r="F25" s="207">
        <f t="shared" si="0"/>
        <v>77.484999999999999</v>
      </c>
      <c r="G25" s="207">
        <v>77.59</v>
      </c>
      <c r="H25" s="45">
        <v>53633210</v>
      </c>
      <c r="I25" s="208">
        <v>0</v>
      </c>
      <c r="J25" s="208">
        <f>3683378000+90360000</f>
        <v>3773738000</v>
      </c>
      <c r="L25" t="s">
        <v>6</v>
      </c>
      <c r="M25" s="45" t="s">
        <v>6</v>
      </c>
    </row>
    <row r="26" spans="1:13" ht="15.75">
      <c r="A26" s="22" t="s">
        <v>294</v>
      </c>
      <c r="B26" s="272" t="s">
        <v>295</v>
      </c>
      <c r="C26" s="13" t="s">
        <v>279</v>
      </c>
      <c r="D26" s="207">
        <v>26.28</v>
      </c>
      <c r="E26" s="207">
        <v>25.87</v>
      </c>
      <c r="F26" s="207">
        <f>AVERAGE(D26,E26)</f>
        <v>26.075000000000003</v>
      </c>
      <c r="G26" s="207">
        <v>26.12</v>
      </c>
      <c r="H26" s="45">
        <v>117340493</v>
      </c>
      <c r="I26" s="208">
        <v>0</v>
      </c>
      <c r="J26" s="208">
        <f>3189009000+66076000</f>
        <v>3255085000</v>
      </c>
      <c r="L26" s="45" t="s">
        <v>6</v>
      </c>
    </row>
    <row r="27" spans="1:13" ht="15.75">
      <c r="A27" s="121" t="s">
        <v>296</v>
      </c>
      <c r="B27" s="205" t="s">
        <v>297</v>
      </c>
      <c r="C27" s="2" t="s">
        <v>279</v>
      </c>
      <c r="D27" s="207">
        <v>70.459999999999994</v>
      </c>
      <c r="E27" s="207">
        <v>69.290000000000006</v>
      </c>
      <c r="F27" s="207">
        <f t="shared" si="0"/>
        <v>69.875</v>
      </c>
      <c r="G27" s="207">
        <v>70.05</v>
      </c>
      <c r="H27" s="45">
        <v>60422081</v>
      </c>
      <c r="I27" s="208">
        <v>0</v>
      </c>
      <c r="J27" s="208">
        <f>(2440603+275000)*1000</f>
        <v>2715603000</v>
      </c>
      <c r="L27" s="45" t="s">
        <v>6</v>
      </c>
    </row>
    <row r="28" spans="1:13" ht="15.75">
      <c r="A28" s="121" t="s">
        <v>298</v>
      </c>
      <c r="B28" s="205" t="s">
        <v>299</v>
      </c>
      <c r="C28" s="2" t="s">
        <v>279</v>
      </c>
      <c r="D28" s="207">
        <v>65.52</v>
      </c>
      <c r="E28" s="207">
        <v>64.81</v>
      </c>
      <c r="F28" s="207">
        <f>AVERAGE(D28,E28)</f>
        <v>65.164999999999992</v>
      </c>
      <c r="G28" s="207">
        <v>65.22</v>
      </c>
      <c r="H28" s="45">
        <v>51700000</v>
      </c>
      <c r="I28" s="208">
        <v>242000000</v>
      </c>
      <c r="J28" s="208">
        <f>(3206.8+31.2)*1000000</f>
        <v>3238000000</v>
      </c>
      <c r="L28" s="45" t="s">
        <v>6</v>
      </c>
    </row>
    <row r="29" spans="1:13" ht="16.5" thickBot="1">
      <c r="A29" s="273" t="s">
        <v>210</v>
      </c>
      <c r="B29" s="212" t="s">
        <v>211</v>
      </c>
      <c r="C29" s="17" t="s">
        <v>282</v>
      </c>
      <c r="D29" s="214">
        <v>97.5</v>
      </c>
      <c r="E29" s="214">
        <v>96.3</v>
      </c>
      <c r="F29" s="215">
        <f t="shared" ref="F29" si="1">AVERAGE(D29,E29)</f>
        <v>96.9</v>
      </c>
      <c r="G29" s="214">
        <v>97.07</v>
      </c>
      <c r="H29" s="52">
        <v>315434531</v>
      </c>
      <c r="I29" s="216">
        <f>30400000</f>
        <v>30400000</v>
      </c>
      <c r="J29" s="216">
        <f>13523700000+169400000</f>
        <v>13693100000</v>
      </c>
    </row>
    <row r="30" spans="1:13" ht="15.7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3" ht="15.75">
      <c r="A31" s="47"/>
      <c r="B31" s="47"/>
      <c r="C31" s="47"/>
      <c r="D31" s="47"/>
      <c r="E31" s="47"/>
      <c r="F31" s="47"/>
      <c r="G31" s="47"/>
      <c r="H31" s="47"/>
      <c r="I31" s="47"/>
      <c r="J31" s="47"/>
      <c r="L31" s="47" t="s">
        <v>6</v>
      </c>
      <c r="M31" t="s">
        <v>6</v>
      </c>
    </row>
    <row r="32" spans="1:13" ht="16.5" thickBot="1">
      <c r="A32" s="46"/>
      <c r="B32" s="46"/>
      <c r="C32" s="46"/>
      <c r="D32" s="46"/>
      <c r="E32" s="46"/>
      <c r="F32" s="46"/>
      <c r="G32" s="46"/>
      <c r="H32" s="46"/>
      <c r="I32" s="46"/>
      <c r="J32" s="47"/>
      <c r="L32" s="47" t="s">
        <v>6</v>
      </c>
    </row>
    <row r="33" spans="1:12" ht="15.75">
      <c r="A33" s="218"/>
      <c r="B33" s="219"/>
      <c r="C33" s="219"/>
      <c r="D33" s="219"/>
      <c r="E33" s="112" t="s">
        <v>6</v>
      </c>
      <c r="F33" s="220"/>
      <c r="G33" s="219"/>
      <c r="H33" s="219"/>
      <c r="I33" s="221"/>
      <c r="J33" s="47"/>
      <c r="K33" s="47" t="s">
        <v>6</v>
      </c>
      <c r="L33" s="47"/>
    </row>
    <row r="34" spans="1:12" ht="15.75">
      <c r="A34" s="114"/>
      <c r="B34" s="36"/>
      <c r="C34" s="36"/>
      <c r="D34" s="35" t="s">
        <v>23</v>
      </c>
      <c r="E34" s="36" t="s">
        <v>23</v>
      </c>
      <c r="F34" s="35" t="s">
        <v>23</v>
      </c>
      <c r="G34" s="35" t="s">
        <v>23</v>
      </c>
      <c r="H34" s="35" t="s">
        <v>23</v>
      </c>
      <c r="I34" s="222" t="s">
        <v>23</v>
      </c>
      <c r="L34" s="47"/>
    </row>
    <row r="35" spans="1:12" ht="15.75">
      <c r="A35" s="114" t="s">
        <v>6</v>
      </c>
      <c r="B35" s="36" t="s">
        <v>26</v>
      </c>
      <c r="C35" s="36" t="s">
        <v>27</v>
      </c>
      <c r="D35" s="36" t="s">
        <v>25</v>
      </c>
      <c r="E35" s="274" t="s">
        <v>31</v>
      </c>
      <c r="F35" s="38" t="s">
        <v>213</v>
      </c>
      <c r="G35" s="38" t="s">
        <v>48</v>
      </c>
      <c r="H35" s="38" t="s">
        <v>49</v>
      </c>
      <c r="I35" s="115" t="s">
        <v>214</v>
      </c>
      <c r="J35" t="s">
        <v>6</v>
      </c>
      <c r="L35" s="47"/>
    </row>
    <row r="36" spans="1:12" ht="16.5" thickBot="1">
      <c r="A36" s="116" t="s">
        <v>33</v>
      </c>
      <c r="B36" s="39" t="s">
        <v>34</v>
      </c>
      <c r="C36" s="39" t="s">
        <v>35</v>
      </c>
      <c r="D36" s="39" t="s">
        <v>51</v>
      </c>
      <c r="E36" s="39" t="s">
        <v>51</v>
      </c>
      <c r="F36" s="39" t="s">
        <v>51</v>
      </c>
      <c r="G36" s="39" t="s">
        <v>300</v>
      </c>
      <c r="H36" s="39" t="s">
        <v>6</v>
      </c>
      <c r="I36" s="117" t="s">
        <v>6</v>
      </c>
      <c r="L36" s="47"/>
    </row>
    <row r="37" spans="1:12" ht="15.75">
      <c r="A37" s="118" t="s">
        <v>40</v>
      </c>
      <c r="B37" s="41" t="s">
        <v>40</v>
      </c>
      <c r="C37" s="41" t="s">
        <v>40</v>
      </c>
      <c r="D37" s="41" t="s">
        <v>53</v>
      </c>
      <c r="E37" s="41" t="s">
        <v>53</v>
      </c>
      <c r="F37" s="41" t="s">
        <v>42</v>
      </c>
      <c r="G37" s="41" t="s">
        <v>53</v>
      </c>
      <c r="H37" s="41" t="s">
        <v>53</v>
      </c>
      <c r="I37" s="119" t="s">
        <v>53</v>
      </c>
    </row>
    <row r="38" spans="1:12" ht="15.75">
      <c r="A38" s="114"/>
      <c r="B38" s="36"/>
      <c r="C38" s="36"/>
      <c r="D38" s="47"/>
      <c r="E38" s="47"/>
      <c r="F38" s="42"/>
      <c r="G38" s="42"/>
      <c r="H38" s="42"/>
      <c r="I38" s="120"/>
    </row>
    <row r="39" spans="1:12" ht="15.75">
      <c r="A39" s="204" t="str">
        <f t="shared" ref="A39:C51" si="2">+A17</f>
        <v>Atmos Energy Corp</v>
      </c>
      <c r="B39" s="2" t="str">
        <f t="shared" si="2"/>
        <v>ATO</v>
      </c>
      <c r="C39" s="2" t="str">
        <f t="shared" si="2"/>
        <v>Nat Gas Utility</v>
      </c>
      <c r="D39" s="122">
        <f t="shared" ref="D39:D44" si="3">(+H17)*G17</f>
        <v>14188485736.369999</v>
      </c>
      <c r="E39" s="122">
        <f t="shared" ref="E39:E50" si="4">(1/1)*I17</f>
        <v>0</v>
      </c>
      <c r="F39" s="45">
        <f>J17*(8653665/7960000)</f>
        <v>8649918702.3128128</v>
      </c>
      <c r="G39" s="139">
        <f>+D39+E39+F39</f>
        <v>22838404438.682812</v>
      </c>
      <c r="H39" s="124">
        <f t="shared" ref="H39:H50" si="5">(+D39)/G39</f>
        <v>0.62125555988219938</v>
      </c>
      <c r="I39" s="125">
        <f>(E39+F39)/G39</f>
        <v>0.37874444011780056</v>
      </c>
      <c r="J39" t="s">
        <v>6</v>
      </c>
    </row>
    <row r="40" spans="1:12" ht="15.75">
      <c r="A40" s="204" t="str">
        <f t="shared" si="2"/>
        <v>Black Hills Corporation</v>
      </c>
      <c r="B40" s="2" t="str">
        <f t="shared" si="2"/>
        <v>BKH</v>
      </c>
      <c r="C40" s="2" t="str">
        <f t="shared" si="2"/>
        <v>Electric &amp; Gas</v>
      </c>
      <c r="D40" s="122">
        <f t="shared" si="3"/>
        <v>4568632429.6899996</v>
      </c>
      <c r="E40" s="122">
        <f t="shared" si="4"/>
        <v>0</v>
      </c>
      <c r="F40" s="45">
        <f>J18*(4570619/4126923)</f>
        <v>4570619000</v>
      </c>
      <c r="G40" s="139">
        <f t="shared" ref="G40:G50" si="6">+D40+E40+F40</f>
        <v>9139251429.6899986</v>
      </c>
      <c r="H40" s="124">
        <f t="shared" si="5"/>
        <v>0.49989131657415914</v>
      </c>
      <c r="I40" s="125">
        <f t="shared" ref="I40:I50" si="7">(E40+F40)/G40</f>
        <v>0.50010868342584092</v>
      </c>
      <c r="J40" t="s">
        <v>6</v>
      </c>
    </row>
    <row r="41" spans="1:12" ht="15.75">
      <c r="A41" s="209" t="str">
        <f t="shared" si="2"/>
        <v>CenterPoint Energy Inc.</v>
      </c>
      <c r="B41" s="13" t="str">
        <f t="shared" si="2"/>
        <v>CNP</v>
      </c>
      <c r="C41" s="13" t="str">
        <f t="shared" si="2"/>
        <v>Electric &amp; Gas</v>
      </c>
      <c r="D41" s="122">
        <f t="shared" si="3"/>
        <v>17553255833.939999</v>
      </c>
      <c r="E41" s="122">
        <f t="shared" si="4"/>
        <v>790000000</v>
      </c>
      <c r="F41" s="45">
        <f>J19*(17385/16086)</f>
        <v>17385000000</v>
      </c>
      <c r="G41" s="139">
        <f t="shared" si="6"/>
        <v>35728255833.940002</v>
      </c>
      <c r="H41" s="124">
        <f t="shared" si="5"/>
        <v>0.49129898519326293</v>
      </c>
      <c r="I41" s="125">
        <f t="shared" si="7"/>
        <v>0.50870101480673702</v>
      </c>
    </row>
    <row r="42" spans="1:12" ht="15.75">
      <c r="A42" s="209" t="str">
        <f t="shared" si="2"/>
        <v>CMS Energy Corporation</v>
      </c>
      <c r="B42" s="13" t="str">
        <f t="shared" si="2"/>
        <v>CMS</v>
      </c>
      <c r="C42" s="13" t="str">
        <f t="shared" si="2"/>
        <v>Electric &amp; Gas</v>
      </c>
      <c r="D42" s="122">
        <f t="shared" si="3"/>
        <v>18851490000</v>
      </c>
      <c r="E42" s="122">
        <f t="shared" si="4"/>
        <v>557000000</v>
      </c>
      <c r="F42" s="45">
        <f>J20*(13800/12419)</f>
        <v>13861116031.886625</v>
      </c>
      <c r="G42" s="139">
        <f t="shared" si="6"/>
        <v>33269606031.886627</v>
      </c>
      <c r="H42" s="124">
        <f t="shared" si="5"/>
        <v>0.56662799018215437</v>
      </c>
      <c r="I42" s="125">
        <f t="shared" si="7"/>
        <v>0.43337200981784557</v>
      </c>
    </row>
    <row r="43" spans="1:12" ht="15.75">
      <c r="A43" s="209" t="str">
        <f t="shared" si="2"/>
        <v>MGE Energy Inc.</v>
      </c>
      <c r="B43" s="13" t="str">
        <f t="shared" si="2"/>
        <v>MGEE</v>
      </c>
      <c r="C43" s="13" t="str">
        <f t="shared" si="2"/>
        <v>Electric &amp; Gas</v>
      </c>
      <c r="D43" s="122">
        <f t="shared" si="3"/>
        <v>2974406750</v>
      </c>
      <c r="E43" s="122">
        <f t="shared" si="4"/>
        <v>0</v>
      </c>
      <c r="F43" s="123">
        <f>J21*(729914/623449)</f>
        <v>719098447.27315295</v>
      </c>
      <c r="G43" s="139">
        <f t="shared" si="6"/>
        <v>3693505197.2731528</v>
      </c>
      <c r="H43" s="124">
        <f t="shared" si="5"/>
        <v>0.80530731409176026</v>
      </c>
      <c r="I43" s="125">
        <f t="shared" si="7"/>
        <v>0.19469268590823974</v>
      </c>
    </row>
    <row r="44" spans="1:12" ht="15.75">
      <c r="A44" s="204" t="str">
        <f t="shared" si="2"/>
        <v>New Jersey Resources Corp</v>
      </c>
      <c r="B44" s="2" t="str">
        <f t="shared" si="2"/>
        <v>NJR</v>
      </c>
      <c r="C44" s="2" t="str">
        <f t="shared" si="2"/>
        <v>Nat Gas Utility</v>
      </c>
      <c r="D44" s="122">
        <f t="shared" si="3"/>
        <v>3940187812.6000004</v>
      </c>
      <c r="E44" s="122">
        <f t="shared" si="4"/>
        <v>0</v>
      </c>
      <c r="F44" s="45">
        <f>J22*(2373791/2202845)</f>
        <v>2530896805.2073569</v>
      </c>
      <c r="G44" s="139">
        <f t="shared" si="6"/>
        <v>6471084617.8073578</v>
      </c>
      <c r="H44" s="124">
        <f t="shared" si="5"/>
        <v>0.60889140620372251</v>
      </c>
      <c r="I44" s="125">
        <f t="shared" si="7"/>
        <v>0.39110859379627738</v>
      </c>
      <c r="J44" t="s">
        <v>6</v>
      </c>
    </row>
    <row r="45" spans="1:12" ht="15.75">
      <c r="A45" s="204" t="str">
        <f t="shared" si="2"/>
        <v>NISOURCE Inc</v>
      </c>
      <c r="B45" s="2" t="str">
        <f t="shared" si="2"/>
        <v>NI</v>
      </c>
      <c r="C45" s="2" t="str">
        <f t="shared" si="2"/>
        <v>Nat Gas Utility</v>
      </c>
      <c r="D45" s="122">
        <f>((+H23)*G23)-99900000</f>
        <v>11090516465.030001</v>
      </c>
      <c r="E45" s="122">
        <f t="shared" si="4"/>
        <v>880000000</v>
      </c>
      <c r="F45" s="45">
        <f>J23*(10415.7/9241.5)</f>
        <v>10415700000</v>
      </c>
      <c r="G45" s="139">
        <f t="shared" si="6"/>
        <v>22386216465.029999</v>
      </c>
      <c r="H45" s="124">
        <f t="shared" si="5"/>
        <v>0.49541719041065918</v>
      </c>
      <c r="I45" s="125">
        <f t="shared" si="7"/>
        <v>0.50458280958934087</v>
      </c>
    </row>
    <row r="46" spans="1:12" ht="15.75">
      <c r="A46" s="204" t="str">
        <f t="shared" si="2"/>
        <v>Northwest Natural Gas Company</v>
      </c>
      <c r="B46" s="2" t="str">
        <f t="shared" si="2"/>
        <v>NWN</v>
      </c>
      <c r="C46" s="2" t="str">
        <f t="shared" si="2"/>
        <v>Nat Gas Utility</v>
      </c>
      <c r="D46" s="122">
        <f t="shared" ref="D46:D51" si="8">(+H24)*G24</f>
        <v>1518472620</v>
      </c>
      <c r="E46" s="122">
        <f t="shared" si="4"/>
        <v>0</v>
      </c>
      <c r="F46" s="45">
        <f>J24*(1110741/986495)</f>
        <v>1176537959.758539</v>
      </c>
      <c r="G46" s="139">
        <f t="shared" si="6"/>
        <v>2695010579.7585392</v>
      </c>
      <c r="H46" s="124">
        <f t="shared" si="5"/>
        <v>0.56343846343491844</v>
      </c>
      <c r="I46" s="125">
        <f t="shared" si="7"/>
        <v>0.43656153656508151</v>
      </c>
      <c r="J46" t="s">
        <v>6</v>
      </c>
    </row>
    <row r="47" spans="1:12" ht="15.75">
      <c r="A47" s="204" t="str">
        <f t="shared" si="2"/>
        <v>One Gas Inc</v>
      </c>
      <c r="B47" s="2" t="str">
        <f t="shared" si="2"/>
        <v>OGS</v>
      </c>
      <c r="C47" s="2" t="str">
        <f t="shared" si="2"/>
        <v>Nat Gas Utility</v>
      </c>
      <c r="D47" s="122">
        <f t="shared" si="8"/>
        <v>4161400763.9000001</v>
      </c>
      <c r="E47" s="122">
        <f t="shared" si="4"/>
        <v>0</v>
      </c>
      <c r="F47" s="45">
        <f>J25*(3.9/3.7)</f>
        <v>3977723837.8378372</v>
      </c>
      <c r="G47" s="139">
        <f t="shared" si="6"/>
        <v>8139124601.7378368</v>
      </c>
      <c r="H47" s="124">
        <f t="shared" si="5"/>
        <v>0.51128357993333495</v>
      </c>
      <c r="I47" s="125">
        <f t="shared" si="7"/>
        <v>0.48871642006666516</v>
      </c>
      <c r="J47" t="s">
        <v>6</v>
      </c>
    </row>
    <row r="48" spans="1:12" ht="15.75">
      <c r="A48" s="204" t="str">
        <f t="shared" si="2"/>
        <v>South Jersey Industries Inc.</v>
      </c>
      <c r="B48" s="2" t="str">
        <f t="shared" si="2"/>
        <v>SJI</v>
      </c>
      <c r="C48" s="2" t="str">
        <f t="shared" si="2"/>
        <v>Nat Gas Utility</v>
      </c>
      <c r="D48" s="122">
        <f t="shared" si="8"/>
        <v>3064933677.1600003</v>
      </c>
      <c r="E48" s="122">
        <f t="shared" si="4"/>
        <v>0</v>
      </c>
      <c r="F48" s="45">
        <f>J26*(3653868/3255085)</f>
        <v>3653868000</v>
      </c>
      <c r="G48" s="139">
        <f>+D48+E48+F48</f>
        <v>6718801677.1599998</v>
      </c>
      <c r="H48" s="124">
        <f>(+D48)/G48</f>
        <v>0.45617266656031596</v>
      </c>
      <c r="I48" s="125">
        <f>(E48+F48)/G48</f>
        <v>0.54382733343968415</v>
      </c>
      <c r="J48" t="s">
        <v>6</v>
      </c>
    </row>
    <row r="49" spans="1:12" ht="15.75">
      <c r="A49" s="204" t="str">
        <f t="shared" si="2"/>
        <v>Southwest Gas Corp</v>
      </c>
      <c r="B49" s="2" t="str">
        <f t="shared" si="2"/>
        <v>SWX</v>
      </c>
      <c r="C49" s="2" t="str">
        <f t="shared" si="2"/>
        <v>Nat Gas Utility</v>
      </c>
      <c r="D49" s="122">
        <f t="shared" si="8"/>
        <v>4232566774.0499997</v>
      </c>
      <c r="E49" s="122">
        <f t="shared" si="4"/>
        <v>0</v>
      </c>
      <c r="F49" s="45">
        <f>J27*((2612000+130000+200000)/(2440603))</f>
        <v>3273495945.8789487</v>
      </c>
      <c r="G49" s="139">
        <f t="shared" si="6"/>
        <v>7506062719.9289484</v>
      </c>
      <c r="H49" s="124">
        <f t="shared" si="5"/>
        <v>0.56388641182178456</v>
      </c>
      <c r="I49" s="125">
        <f t="shared" si="7"/>
        <v>0.43611358817821538</v>
      </c>
      <c r="J49" s="148" t="s">
        <v>6</v>
      </c>
    </row>
    <row r="50" spans="1:12" ht="15.75">
      <c r="A50" s="204" t="str">
        <f t="shared" si="2"/>
        <v>Spire Inc</v>
      </c>
      <c r="B50" s="2" t="str">
        <f t="shared" si="2"/>
        <v>SR</v>
      </c>
      <c r="C50" s="2" t="str">
        <f t="shared" si="2"/>
        <v>Nat Gas Utility</v>
      </c>
      <c r="D50" s="122">
        <f t="shared" si="8"/>
        <v>3371874000</v>
      </c>
      <c r="E50" s="122">
        <f t="shared" si="4"/>
        <v>242000000</v>
      </c>
      <c r="F50" s="45">
        <f>J28*(3594.4/3238)</f>
        <v>3594400000</v>
      </c>
      <c r="G50" s="139">
        <f t="shared" si="6"/>
        <v>7208274000</v>
      </c>
      <c r="H50" s="124">
        <f t="shared" si="5"/>
        <v>0.46777827812871708</v>
      </c>
      <c r="I50" s="125">
        <f t="shared" si="7"/>
        <v>0.53222172187128292</v>
      </c>
      <c r="J50" t="s">
        <v>6</v>
      </c>
    </row>
    <row r="51" spans="1:12" ht="15.75">
      <c r="A51" s="209" t="str">
        <f t="shared" si="2"/>
        <v>WEC Energy Group</v>
      </c>
      <c r="B51" s="13" t="str">
        <f t="shared" si="2"/>
        <v>WEC</v>
      </c>
      <c r="C51" s="13" t="str">
        <f t="shared" si="2"/>
        <v>Electric &amp; Gas</v>
      </c>
      <c r="D51" s="122">
        <f t="shared" si="8"/>
        <v>30619229924.169998</v>
      </c>
      <c r="E51" s="123">
        <f>32300000</f>
        <v>32300000</v>
      </c>
      <c r="F51" s="123">
        <f>J29*(14819.4/13563.4)</f>
        <v>14961110498.842474</v>
      </c>
      <c r="G51" s="139">
        <f>+D51+E51+F51</f>
        <v>45612640423.012474</v>
      </c>
      <c r="H51" s="124">
        <f>(+D51)/G51</f>
        <v>0.67128825782078594</v>
      </c>
      <c r="I51" s="125">
        <f>(E51+F51)/G51</f>
        <v>0.32871174217921406</v>
      </c>
      <c r="L51" s="47"/>
    </row>
    <row r="52" spans="1:12" ht="16.5" thickBot="1">
      <c r="A52" s="275"/>
      <c r="B52" s="276"/>
      <c r="C52" s="276"/>
      <c r="D52" s="46"/>
      <c r="E52" s="46"/>
      <c r="F52" s="46"/>
      <c r="G52" s="46"/>
      <c r="H52" s="46"/>
      <c r="I52" s="227"/>
      <c r="L52" s="47"/>
    </row>
    <row r="55" spans="1:12" ht="15.75">
      <c r="C55" s="56" t="s">
        <v>6</v>
      </c>
      <c r="D55" s="56"/>
      <c r="E55" s="77" t="s">
        <v>6</v>
      </c>
      <c r="F55" s="277" t="s">
        <v>6</v>
      </c>
      <c r="G55" s="54" t="s">
        <v>54</v>
      </c>
      <c r="H55" s="54" t="s">
        <v>301</v>
      </c>
      <c r="I55" s="54" t="s">
        <v>302</v>
      </c>
    </row>
    <row r="56" spans="1:12" ht="15.75">
      <c r="C56" s="56" t="s">
        <v>6</v>
      </c>
      <c r="D56" s="56" t="s">
        <v>6</v>
      </c>
      <c r="E56" s="57" t="s">
        <v>6</v>
      </c>
      <c r="F56" s="277" t="s">
        <v>6</v>
      </c>
      <c r="G56" s="54" t="s">
        <v>58</v>
      </c>
      <c r="H56" s="11">
        <f>MEDIAN(H39:H51)</f>
        <v>0.56343846343491844</v>
      </c>
      <c r="I56" s="11">
        <f>MEDIAN(I39:I51)</f>
        <v>0.43656153656508151</v>
      </c>
    </row>
    <row r="57" spans="1:12" ht="15.75">
      <c r="C57" s="56" t="s">
        <v>6</v>
      </c>
      <c r="D57" s="56"/>
      <c r="E57" s="57" t="s">
        <v>6</v>
      </c>
      <c r="G57" s="54" t="s">
        <v>29</v>
      </c>
      <c r="H57" s="15">
        <f>AVERAGE(H39:H51)</f>
        <v>0.56327210924905957</v>
      </c>
      <c r="I57" s="15">
        <f>AVERAGE(I39:I51)</f>
        <v>0.43672789075094037</v>
      </c>
    </row>
    <row r="58" spans="1:12" ht="15.75">
      <c r="E58" t="s">
        <v>6</v>
      </c>
      <c r="G58" s="24"/>
      <c r="H58" s="24"/>
      <c r="I58" s="24"/>
    </row>
    <row r="59" spans="1:12" ht="21">
      <c r="G59" s="278" t="s">
        <v>20</v>
      </c>
      <c r="H59" s="300">
        <v>0.56340000000000001</v>
      </c>
      <c r="I59" s="300">
        <v>0.43659999999999999</v>
      </c>
    </row>
    <row r="60" spans="1:12" ht="15.75">
      <c r="I60" s="24"/>
    </row>
  </sheetData>
  <pageMargins left="0.25" right="0.25" top="0.75" bottom="0.75" header="0.3" footer="0.3"/>
  <pageSetup scale="42" orientation="landscape" r:id="rId1"/>
  <rowBreaks count="1" manualBreakCount="1">
    <brk id="60" max="10" man="1"/>
  </rowBreak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AD1E-37A7-4D0D-9454-4B21D5FF7864}">
  <sheetPr codeName="Sheet57">
    <pageSetUpPr fitToPage="1"/>
  </sheetPr>
  <dimension ref="A1:L35"/>
  <sheetViews>
    <sheetView zoomScaleNormal="100" workbookViewId="0">
      <selection activeCell="L12" sqref="L12"/>
    </sheetView>
  </sheetViews>
  <sheetFormatPr defaultRowHeight="15"/>
  <cols>
    <col min="1" max="1" width="45.140625" customWidth="1"/>
    <col min="2" max="2" width="10.85546875" bestFit="1" customWidth="1"/>
    <col min="3" max="3" width="15.42578125" bestFit="1" customWidth="1"/>
    <col min="4" max="5" width="15.42578125" customWidth="1"/>
    <col min="6" max="6" width="11.85546875" customWidth="1"/>
    <col min="7" max="7" width="12.42578125" customWidth="1"/>
    <col min="8" max="8" width="18.5703125" customWidth="1"/>
    <col min="9" max="9" width="16.7109375" customWidth="1"/>
    <col min="10" max="10" width="15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F4" s="4" t="s">
        <v>6</v>
      </c>
    </row>
    <row r="5" spans="1:12" ht="15.75">
      <c r="A5" s="66" t="s">
        <v>303</v>
      </c>
    </row>
    <row r="6" spans="1:12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67" t="s">
        <v>6</v>
      </c>
    </row>
    <row r="7" spans="1:12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75</v>
      </c>
      <c r="I7" s="3" t="s">
        <v>75</v>
      </c>
    </row>
    <row r="8" spans="1:12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2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2">
      <c r="A10" s="3"/>
      <c r="B10" s="3"/>
      <c r="C10" s="3"/>
      <c r="D10" s="3"/>
      <c r="E10" s="3"/>
      <c r="F10" s="3"/>
      <c r="G10" s="3"/>
      <c r="H10" s="3"/>
      <c r="I10" s="3"/>
    </row>
    <row r="12" spans="1:12" ht="15.75">
      <c r="A12" s="22" t="s">
        <v>277</v>
      </c>
      <c r="B12" s="3" t="s">
        <v>278</v>
      </c>
      <c r="C12" s="2" t="s">
        <v>304</v>
      </c>
      <c r="D12" s="68">
        <v>0.8</v>
      </c>
      <c r="E12" s="69">
        <v>0.188</v>
      </c>
      <c r="F12" s="3" t="s">
        <v>152</v>
      </c>
      <c r="G12" s="68" t="s">
        <v>219</v>
      </c>
      <c r="H12" s="68" t="s">
        <v>221</v>
      </c>
      <c r="I12" s="71">
        <v>3.0200000000000001E-2</v>
      </c>
      <c r="L12" s="68"/>
    </row>
    <row r="13" spans="1:12" ht="15.75">
      <c r="A13" s="22" t="s">
        <v>280</v>
      </c>
      <c r="B13" s="3" t="s">
        <v>281</v>
      </c>
      <c r="C13" s="2" t="s">
        <v>282</v>
      </c>
      <c r="D13" s="68">
        <v>1</v>
      </c>
      <c r="E13" s="69">
        <v>8.5000000000000006E-2</v>
      </c>
      <c r="F13" s="3" t="s">
        <v>218</v>
      </c>
      <c r="G13" s="68" t="s">
        <v>220</v>
      </c>
      <c r="H13" s="68" t="s">
        <v>146</v>
      </c>
      <c r="I13" s="71">
        <v>3.3500000000000002E-2</v>
      </c>
      <c r="L13" s="68"/>
    </row>
    <row r="14" spans="1:12" ht="15.75">
      <c r="A14" s="102" t="s">
        <v>283</v>
      </c>
      <c r="B14" s="3" t="s">
        <v>189</v>
      </c>
      <c r="C14" s="2" t="s">
        <v>282</v>
      </c>
      <c r="D14" s="68">
        <v>1.1499999999999999</v>
      </c>
      <c r="E14" s="69">
        <v>0.14099999999999999</v>
      </c>
      <c r="F14" s="3" t="s">
        <v>78</v>
      </c>
      <c r="G14" s="3" t="s">
        <v>127</v>
      </c>
      <c r="H14" s="68" t="s">
        <v>146</v>
      </c>
      <c r="I14" s="71">
        <v>3.3500000000000002E-2</v>
      </c>
      <c r="L14" s="68"/>
    </row>
    <row r="15" spans="1:12" ht="15.75">
      <c r="A15" s="102" t="s">
        <v>284</v>
      </c>
      <c r="B15" s="3" t="s">
        <v>191</v>
      </c>
      <c r="C15" s="2" t="s">
        <v>282</v>
      </c>
      <c r="D15" s="68">
        <v>0.8</v>
      </c>
      <c r="E15" s="69">
        <v>0.115</v>
      </c>
      <c r="F15" s="3" t="s">
        <v>80</v>
      </c>
      <c r="G15" s="104"/>
      <c r="H15" s="68" t="s">
        <v>114</v>
      </c>
      <c r="I15" s="71">
        <v>3.3500000000000002E-2</v>
      </c>
      <c r="L15" s="104"/>
    </row>
    <row r="16" spans="1:12" ht="15.75">
      <c r="A16" s="102" t="s">
        <v>285</v>
      </c>
      <c r="B16" s="3" t="s">
        <v>201</v>
      </c>
      <c r="C16" s="2" t="s">
        <v>282</v>
      </c>
      <c r="D16" s="68">
        <v>0.75</v>
      </c>
      <c r="E16" s="69">
        <v>3.6999999999999998E-2</v>
      </c>
      <c r="F16" s="3" t="s">
        <v>152</v>
      </c>
      <c r="G16" s="104"/>
      <c r="H16" s="68" t="s">
        <v>221</v>
      </c>
      <c r="I16" s="71">
        <v>3.0200000000000001E-2</v>
      </c>
      <c r="L16" s="104"/>
    </row>
    <row r="17" spans="1:12" ht="15.75">
      <c r="A17" s="22" t="s">
        <v>286</v>
      </c>
      <c r="B17" s="3" t="s">
        <v>287</v>
      </c>
      <c r="C17" s="2" t="s">
        <v>304</v>
      </c>
      <c r="D17" s="68">
        <v>1</v>
      </c>
      <c r="E17" s="69">
        <v>0.10299999999999999</v>
      </c>
      <c r="F17" s="3" t="s">
        <v>152</v>
      </c>
      <c r="G17" s="68"/>
      <c r="H17" s="68" t="s">
        <v>221</v>
      </c>
      <c r="I17" s="71">
        <v>3.0200000000000001E-2</v>
      </c>
      <c r="L17" s="68" t="s">
        <v>6</v>
      </c>
    </row>
    <row r="18" spans="1:12" ht="15.75">
      <c r="A18" s="22" t="s">
        <v>305</v>
      </c>
      <c r="B18" s="3" t="s">
        <v>289</v>
      </c>
      <c r="C18" s="2" t="s">
        <v>304</v>
      </c>
      <c r="D18" s="68">
        <v>0.85</v>
      </c>
      <c r="E18" s="69">
        <v>0.19</v>
      </c>
      <c r="F18" s="3" t="s">
        <v>78</v>
      </c>
      <c r="G18" s="68" t="s">
        <v>220</v>
      </c>
      <c r="H18" s="68" t="s">
        <v>146</v>
      </c>
      <c r="I18" s="71">
        <v>3.3500000000000002E-2</v>
      </c>
      <c r="L18" s="68"/>
    </row>
    <row r="19" spans="1:12" ht="15.75">
      <c r="A19" s="22" t="s">
        <v>290</v>
      </c>
      <c r="B19" s="3" t="s">
        <v>291</v>
      </c>
      <c r="C19" s="2" t="s">
        <v>304</v>
      </c>
      <c r="D19" s="68">
        <v>0.8</v>
      </c>
      <c r="E19" s="69">
        <v>0.21</v>
      </c>
      <c r="F19" s="3" t="s">
        <v>218</v>
      </c>
      <c r="G19" s="68" t="s">
        <v>306</v>
      </c>
      <c r="H19" s="68" t="s">
        <v>307</v>
      </c>
      <c r="I19" s="71">
        <v>3.0200000000000001E-2</v>
      </c>
      <c r="L19" s="68"/>
    </row>
    <row r="20" spans="1:12" ht="15.75">
      <c r="A20" s="22" t="s">
        <v>292</v>
      </c>
      <c r="B20" s="3" t="s">
        <v>293</v>
      </c>
      <c r="C20" s="2" t="s">
        <v>304</v>
      </c>
      <c r="D20" s="68">
        <v>0.8</v>
      </c>
      <c r="E20" s="69">
        <v>0.17</v>
      </c>
      <c r="F20" s="3" t="s">
        <v>80</v>
      </c>
      <c r="G20" s="104" t="s">
        <v>220</v>
      </c>
      <c r="H20" s="68" t="s">
        <v>223</v>
      </c>
      <c r="I20" s="71">
        <v>3.0200000000000001E-2</v>
      </c>
      <c r="L20" s="104"/>
    </row>
    <row r="21" spans="1:12" ht="15.75">
      <c r="A21" s="22" t="s">
        <v>294</v>
      </c>
      <c r="B21" s="3" t="s">
        <v>295</v>
      </c>
      <c r="C21" s="2" t="s">
        <v>304</v>
      </c>
      <c r="D21" s="68">
        <v>1</v>
      </c>
      <c r="E21" s="69">
        <v>0.22</v>
      </c>
      <c r="F21" s="3" t="s">
        <v>80</v>
      </c>
      <c r="G21" s="68" t="s">
        <v>127</v>
      </c>
      <c r="H21" s="68" t="s">
        <v>114</v>
      </c>
      <c r="I21" s="71">
        <v>3.3500000000000002E-2</v>
      </c>
      <c r="L21" s="68"/>
    </row>
    <row r="22" spans="1:12" ht="15.75">
      <c r="A22" s="22" t="s">
        <v>308</v>
      </c>
      <c r="B22" s="3" t="s">
        <v>297</v>
      </c>
      <c r="C22" s="2" t="s">
        <v>304</v>
      </c>
      <c r="D22" s="68">
        <v>0.95</v>
      </c>
      <c r="E22" s="69">
        <v>0.21</v>
      </c>
      <c r="F22" s="3" t="s">
        <v>218</v>
      </c>
      <c r="G22" s="104"/>
      <c r="H22" s="68" t="s">
        <v>114</v>
      </c>
      <c r="I22" s="71">
        <v>3.3500000000000002E-2</v>
      </c>
      <c r="L22" s="104"/>
    </row>
    <row r="23" spans="1:12" ht="15.75">
      <c r="A23" s="22" t="s">
        <v>298</v>
      </c>
      <c r="B23" s="3" t="s">
        <v>299</v>
      </c>
      <c r="C23" s="2" t="s">
        <v>304</v>
      </c>
      <c r="D23" s="68">
        <v>0.85</v>
      </c>
      <c r="E23" s="69">
        <v>0.20100000000000001</v>
      </c>
      <c r="F23" s="3" t="s">
        <v>80</v>
      </c>
      <c r="G23" s="68" t="s">
        <v>220</v>
      </c>
      <c r="H23" s="68" t="s">
        <v>146</v>
      </c>
      <c r="I23" s="71">
        <v>3.3500000000000002E-2</v>
      </c>
      <c r="L23" s="68"/>
    </row>
    <row r="24" spans="1:12" ht="15.75">
      <c r="A24" s="102" t="s">
        <v>210</v>
      </c>
      <c r="B24" s="3" t="s">
        <v>211</v>
      </c>
      <c r="C24" s="2" t="s">
        <v>282</v>
      </c>
      <c r="D24" s="68">
        <v>0.8</v>
      </c>
      <c r="E24" s="69">
        <v>0.13400000000000001</v>
      </c>
      <c r="F24" s="3" t="s">
        <v>152</v>
      </c>
      <c r="G24" s="68"/>
      <c r="H24" s="68" t="s">
        <v>114</v>
      </c>
      <c r="I24" s="71">
        <v>3.3500000000000002E-2</v>
      </c>
      <c r="L24" s="68"/>
    </row>
    <row r="25" spans="1:12" ht="15.75" thickBot="1">
      <c r="C25" s="76"/>
      <c r="D25" s="73"/>
      <c r="E25" s="73"/>
      <c r="F25" s="73"/>
      <c r="G25" s="73"/>
      <c r="H25" s="73"/>
      <c r="I25" s="73"/>
    </row>
    <row r="26" spans="1:12" ht="15.75" thickTop="1">
      <c r="C26" s="77" t="s">
        <v>54</v>
      </c>
      <c r="D26" s="150" t="s">
        <v>309</v>
      </c>
      <c r="E26" s="150" t="s">
        <v>310</v>
      </c>
      <c r="G26" s="3" t="s">
        <v>6</v>
      </c>
      <c r="H26" s="68" t="s">
        <v>6</v>
      </c>
      <c r="I26" s="150" t="s">
        <v>311</v>
      </c>
    </row>
    <row r="27" spans="1:12">
      <c r="C27" s="77" t="s">
        <v>58</v>
      </c>
      <c r="D27" s="78">
        <f>MEDIAN(D12:D24)</f>
        <v>0.85</v>
      </c>
      <c r="E27" s="79">
        <f>MEDIAN(E12:E24)</f>
        <v>0.17</v>
      </c>
      <c r="G27" s="3" t="s">
        <v>218</v>
      </c>
      <c r="H27" s="3" t="s">
        <v>312</v>
      </c>
      <c r="I27" s="109">
        <f>MEDIAN(I12:I24)</f>
        <v>3.3500000000000002E-2</v>
      </c>
    </row>
    <row r="28" spans="1:12">
      <c r="C28" s="77" t="s">
        <v>29</v>
      </c>
      <c r="D28" s="80">
        <f>AVERAGE(D12:D24)</f>
        <v>0.88846153846153841</v>
      </c>
      <c r="E28" s="81">
        <f>AVERAGE(E12:E24)</f>
        <v>0.15415384615384614</v>
      </c>
      <c r="G28" s="3" t="s">
        <v>6</v>
      </c>
      <c r="H28" s="3" t="s">
        <v>6</v>
      </c>
      <c r="I28" s="12">
        <f>AVERAGE(I12:I24)</f>
        <v>3.2230769230769223E-2</v>
      </c>
    </row>
    <row r="30" spans="1:12" ht="21">
      <c r="H30" s="58" t="s">
        <v>82</v>
      </c>
      <c r="I30" s="105">
        <v>3.3500000000000002E-2</v>
      </c>
      <c r="J30" s="83" t="s">
        <v>6</v>
      </c>
    </row>
    <row r="33" spans="1:1">
      <c r="A33" s="85"/>
    </row>
    <row r="34" spans="1:1">
      <c r="A34" s="85"/>
    </row>
    <row r="35" spans="1:1">
      <c r="A35" s="85"/>
    </row>
  </sheetData>
  <pageMargins left="0.25" right="0.25" top="0.75" bottom="0.75" header="0.3" footer="0.3"/>
  <pageSetup scale="66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F8EE-F2EF-47E1-AE58-405B5F10E5EC}">
  <sheetPr codeName="Sheet58">
    <pageSetUpPr fitToPage="1"/>
  </sheetPr>
  <dimension ref="A1:H52"/>
  <sheetViews>
    <sheetView topLeftCell="A8" zoomScale="90" zoomScaleNormal="90" workbookViewId="0">
      <selection activeCell="J21" sqref="J21"/>
    </sheetView>
  </sheetViews>
  <sheetFormatPr defaultRowHeight="15"/>
  <cols>
    <col min="1" max="1" width="43.7109375" customWidth="1"/>
    <col min="2" max="2" width="20.7109375" customWidth="1"/>
    <col min="3" max="3" width="17.85546875" customWidth="1"/>
    <col min="4" max="4" width="24" customWidth="1"/>
    <col min="5" max="5" width="19.42578125" customWidth="1"/>
    <col min="6" max="6" width="24" customWidth="1"/>
    <col min="7" max="7" width="19.42578125" customWidth="1"/>
    <col min="8" max="8" width="24" customWidth="1"/>
  </cols>
  <sheetData>
    <row r="1" spans="1:8" ht="21">
      <c r="A1" s="23" t="s">
        <v>0</v>
      </c>
    </row>
    <row r="2" spans="1:8" ht="15.75">
      <c r="A2" s="24" t="s">
        <v>1</v>
      </c>
    </row>
    <row r="3" spans="1:8">
      <c r="A3" s="22" t="s">
        <v>2</v>
      </c>
    </row>
    <row r="4" spans="1:8">
      <c r="E4" s="4"/>
    </row>
    <row r="5" spans="1:8" ht="15.75">
      <c r="A5" s="66" t="s">
        <v>303</v>
      </c>
    </row>
    <row r="6" spans="1:8" ht="15.75">
      <c r="A6" s="66"/>
    </row>
    <row r="7" spans="1:8" ht="18.75">
      <c r="A7" s="66"/>
      <c r="E7" s="84" t="s">
        <v>83</v>
      </c>
    </row>
    <row r="8" spans="1:8" ht="18.75">
      <c r="A8" s="66"/>
      <c r="E8" s="84" t="s">
        <v>84</v>
      </c>
    </row>
    <row r="9" spans="1:8" ht="15.75">
      <c r="A9" s="66"/>
      <c r="E9" s="257" t="s">
        <v>6</v>
      </c>
    </row>
    <row r="10" spans="1:8" ht="15.75" thickBot="1">
      <c r="A10" s="67" t="s">
        <v>6</v>
      </c>
      <c r="B10" s="67" t="s">
        <v>6</v>
      </c>
      <c r="C10" s="67"/>
      <c r="D10" s="67" t="s">
        <v>6</v>
      </c>
      <c r="E10" s="67" t="s">
        <v>6</v>
      </c>
      <c r="F10" s="67" t="s">
        <v>6</v>
      </c>
      <c r="G10" s="67" t="s">
        <v>6</v>
      </c>
    </row>
    <row r="11" spans="1:8">
      <c r="A11" s="3" t="s">
        <v>6</v>
      </c>
      <c r="B11" s="3" t="s">
        <v>26</v>
      </c>
      <c r="C11" s="3"/>
      <c r="D11" s="3" t="s">
        <v>6</v>
      </c>
      <c r="E11" s="3" t="s">
        <v>85</v>
      </c>
      <c r="F11" s="3" t="s">
        <v>85</v>
      </c>
      <c r="G11" s="3" t="s">
        <v>86</v>
      </c>
    </row>
    <row r="12" spans="1:8" ht="15.75" thickBot="1">
      <c r="A12" s="7" t="s">
        <v>33</v>
      </c>
      <c r="B12" s="7" t="s">
        <v>34</v>
      </c>
      <c r="C12" s="7"/>
      <c r="D12" s="7" t="s">
        <v>87</v>
      </c>
      <c r="E12" s="7" t="s">
        <v>88</v>
      </c>
      <c r="F12" s="7" t="s">
        <v>89</v>
      </c>
      <c r="G12" s="7" t="s">
        <v>90</v>
      </c>
    </row>
    <row r="13" spans="1:8">
      <c r="A13" s="8" t="s">
        <v>6</v>
      </c>
      <c r="B13" s="8" t="s">
        <v>6</v>
      </c>
      <c r="C13" s="8"/>
      <c r="D13" s="8" t="s">
        <v>313</v>
      </c>
      <c r="E13" s="154" t="s">
        <v>147</v>
      </c>
      <c r="F13" s="8" t="s">
        <v>6</v>
      </c>
      <c r="G13" s="8" t="s">
        <v>6</v>
      </c>
    </row>
    <row r="14" spans="1:8">
      <c r="A14" s="3"/>
      <c r="B14" s="3"/>
      <c r="C14" s="3"/>
      <c r="D14" s="3"/>
      <c r="F14" s="3"/>
      <c r="G14" s="3"/>
    </row>
    <row r="15" spans="1:8">
      <c r="B15" t="s">
        <v>6</v>
      </c>
      <c r="D15" t="s">
        <v>6</v>
      </c>
      <c r="E15" t="s">
        <v>6</v>
      </c>
      <c r="F15" s="232" t="s">
        <v>6</v>
      </c>
      <c r="G15" s="94" t="s">
        <v>6</v>
      </c>
      <c r="H15" t="s">
        <v>6</v>
      </c>
    </row>
    <row r="16" spans="1:8" ht="15.75">
      <c r="A16" s="22" t="s">
        <v>277</v>
      </c>
      <c r="B16" s="3" t="s">
        <v>278</v>
      </c>
      <c r="C16" s="2" t="s">
        <v>304</v>
      </c>
      <c r="D16" s="43">
        <f>'[7]S&amp;D'!G17</f>
        <v>104.77</v>
      </c>
      <c r="E16" s="68">
        <v>8.64</v>
      </c>
      <c r="F16" s="86">
        <f>D16/E16</f>
        <v>12.126157407407407</v>
      </c>
      <c r="G16" s="72">
        <f t="shared" ref="G16:G28" si="0">1/F16</f>
        <v>8.2466354872578029E-2</v>
      </c>
    </row>
    <row r="17" spans="1:7" ht="15.75">
      <c r="A17" s="22" t="s">
        <v>280</v>
      </c>
      <c r="B17" s="3" t="s">
        <v>281</v>
      </c>
      <c r="C17" s="2" t="s">
        <v>282</v>
      </c>
      <c r="D17" s="43">
        <f>'[7]S&amp;D'!G18</f>
        <v>70.569999999999993</v>
      </c>
      <c r="E17" s="68">
        <v>7.65</v>
      </c>
      <c r="F17" s="86">
        <f t="shared" ref="F17:F28" si="1">D17/E17</f>
        <v>9.2248366013071887</v>
      </c>
      <c r="G17" s="72">
        <f t="shared" si="0"/>
        <v>0.10840300410939493</v>
      </c>
    </row>
    <row r="18" spans="1:7" ht="15.75">
      <c r="A18" s="102" t="s">
        <v>283</v>
      </c>
      <c r="B18" s="3" t="s">
        <v>189</v>
      </c>
      <c r="C18" s="2" t="s">
        <v>282</v>
      </c>
      <c r="D18" s="43">
        <f>'[7]S&amp;D'!G19</f>
        <v>27.91</v>
      </c>
      <c r="E18" s="68">
        <v>3</v>
      </c>
      <c r="F18" s="86">
        <f t="shared" si="1"/>
        <v>9.3033333333333328</v>
      </c>
      <c r="G18" s="72">
        <f t="shared" si="0"/>
        <v>0.10748835542816196</v>
      </c>
    </row>
    <row r="19" spans="1:7" ht="15.75">
      <c r="A19" s="102" t="s">
        <v>284</v>
      </c>
      <c r="B19" s="3" t="s">
        <v>191</v>
      </c>
      <c r="C19" s="2" t="s">
        <v>282</v>
      </c>
      <c r="D19" s="43">
        <f>'[7]S&amp;D'!G20</f>
        <v>65.05</v>
      </c>
      <c r="E19" s="68">
        <v>6.42</v>
      </c>
      <c r="F19" s="86">
        <f t="shared" si="1"/>
        <v>10.13239875389408</v>
      </c>
      <c r="G19" s="72">
        <f t="shared" si="0"/>
        <v>9.8693312836279801E-2</v>
      </c>
    </row>
    <row r="20" spans="1:7" ht="15.75">
      <c r="A20" s="102" t="s">
        <v>285</v>
      </c>
      <c r="B20" s="3" t="s">
        <v>201</v>
      </c>
      <c r="C20" s="2" t="s">
        <v>282</v>
      </c>
      <c r="D20" s="43">
        <f>'[7]S&amp;D'!G21</f>
        <v>82.25</v>
      </c>
      <c r="E20" s="68">
        <v>5.05</v>
      </c>
      <c r="F20" s="86">
        <f t="shared" si="1"/>
        <v>16.287128712871286</v>
      </c>
      <c r="G20" s="72">
        <f t="shared" si="0"/>
        <v>6.1398176291793317E-2</v>
      </c>
    </row>
    <row r="21" spans="1:7" ht="15.75">
      <c r="A21" s="22" t="s">
        <v>286</v>
      </c>
      <c r="B21" s="3" t="s">
        <v>287</v>
      </c>
      <c r="C21" s="2" t="s">
        <v>304</v>
      </c>
      <c r="D21" s="43">
        <f>'[7]S&amp;D'!G22</f>
        <v>41.06</v>
      </c>
      <c r="E21" s="68">
        <v>3.36</v>
      </c>
      <c r="F21" s="86">
        <f t="shared" si="1"/>
        <v>12.220238095238097</v>
      </c>
      <c r="G21" s="72">
        <f t="shared" si="0"/>
        <v>8.1831466147101795E-2</v>
      </c>
    </row>
    <row r="22" spans="1:7" ht="15.75">
      <c r="A22" s="22" t="s">
        <v>305</v>
      </c>
      <c r="B22" s="3" t="s">
        <v>289</v>
      </c>
      <c r="C22" s="2" t="s">
        <v>304</v>
      </c>
      <c r="D22" s="43">
        <f>'[7]S&amp;D'!G23</f>
        <v>27.61</v>
      </c>
      <c r="E22" s="68">
        <v>3.1</v>
      </c>
      <c r="F22" s="86">
        <f t="shared" si="1"/>
        <v>8.9064516129032256</v>
      </c>
      <c r="G22" s="72">
        <f t="shared" si="0"/>
        <v>0.11227816008692502</v>
      </c>
    </row>
    <row r="23" spans="1:7" ht="15.75">
      <c r="A23" s="22" t="s">
        <v>290</v>
      </c>
      <c r="B23" s="3" t="s">
        <v>291</v>
      </c>
      <c r="C23" s="2" t="s">
        <v>304</v>
      </c>
      <c r="D23" s="43">
        <f>'[7]S&amp;D'!G24</f>
        <v>48.78</v>
      </c>
      <c r="E23" s="68">
        <v>5.75</v>
      </c>
      <c r="F23" s="86">
        <f t="shared" si="1"/>
        <v>8.4834782608695658</v>
      </c>
      <c r="G23" s="72">
        <f t="shared" si="0"/>
        <v>0.1178761787617876</v>
      </c>
    </row>
    <row r="24" spans="1:7" ht="15.75">
      <c r="A24" s="22" t="s">
        <v>314</v>
      </c>
      <c r="B24" s="3" t="s">
        <v>293</v>
      </c>
      <c r="C24" s="2" t="s">
        <v>304</v>
      </c>
      <c r="D24" s="43">
        <f>'[7]S&amp;D'!G25</f>
        <v>77.59</v>
      </c>
      <c r="E24" s="68">
        <v>7.75</v>
      </c>
      <c r="F24" s="86">
        <f t="shared" si="1"/>
        <v>10.011612903225807</v>
      </c>
      <c r="G24" s="72">
        <f t="shared" si="0"/>
        <v>9.9884005670833872E-2</v>
      </c>
    </row>
    <row r="25" spans="1:7" ht="15.75">
      <c r="A25" s="22" t="s">
        <v>294</v>
      </c>
      <c r="B25" s="3" t="s">
        <v>295</v>
      </c>
      <c r="C25" s="2" t="s">
        <v>304</v>
      </c>
      <c r="D25" s="43">
        <f>'[7]S&amp;D'!G26</f>
        <v>26.12</v>
      </c>
      <c r="E25" s="68">
        <v>2.7</v>
      </c>
      <c r="F25" s="86">
        <f>D25/E25</f>
        <v>9.674074074074074</v>
      </c>
      <c r="G25" s="72">
        <f>1/F25</f>
        <v>0.10336906584992343</v>
      </c>
    </row>
    <row r="26" spans="1:7" ht="15.75">
      <c r="A26" s="102" t="s">
        <v>315</v>
      </c>
      <c r="B26" s="3" t="s">
        <v>297</v>
      </c>
      <c r="C26" s="2" t="s">
        <v>304</v>
      </c>
      <c r="D26" s="43">
        <f>'[7]S&amp;D'!G27</f>
        <v>70.05</v>
      </c>
      <c r="E26" s="68">
        <v>9.5</v>
      </c>
      <c r="F26" s="86">
        <f t="shared" ref="F26" si="2">D26/E26</f>
        <v>7.3736842105263154</v>
      </c>
      <c r="G26" s="72">
        <f t="shared" ref="G26" si="3">1/F26</f>
        <v>0.13561741613133477</v>
      </c>
    </row>
    <row r="27" spans="1:7" ht="15.75">
      <c r="A27" s="22" t="s">
        <v>298</v>
      </c>
      <c r="B27" s="3" t="s">
        <v>299</v>
      </c>
      <c r="C27" s="2" t="s">
        <v>304</v>
      </c>
      <c r="D27" s="43">
        <f>'[7]S&amp;D'!G28</f>
        <v>65.22</v>
      </c>
      <c r="E27" s="68">
        <v>9.09</v>
      </c>
      <c r="F27" s="86">
        <f t="shared" si="1"/>
        <v>7.1749174917491745</v>
      </c>
      <c r="G27" s="72">
        <f t="shared" si="0"/>
        <v>0.1393744250229991</v>
      </c>
    </row>
    <row r="28" spans="1:7" ht="15.75">
      <c r="A28" s="102" t="s">
        <v>210</v>
      </c>
      <c r="B28" s="3" t="s">
        <v>211</v>
      </c>
      <c r="C28" s="2" t="s">
        <v>282</v>
      </c>
      <c r="D28" s="43">
        <f>'[7]S&amp;D'!G29</f>
        <v>97.07</v>
      </c>
      <c r="E28" s="68">
        <v>7.53</v>
      </c>
      <c r="F28" s="86">
        <f t="shared" si="1"/>
        <v>12.89110225763612</v>
      </c>
      <c r="G28" s="72">
        <f t="shared" si="0"/>
        <v>7.7572885546512829E-2</v>
      </c>
    </row>
    <row r="29" spans="1:7" ht="16.5" thickBot="1">
      <c r="B29" s="76"/>
      <c r="C29" s="76"/>
      <c r="D29" s="279" t="s">
        <v>6</v>
      </c>
      <c r="E29" s="73"/>
      <c r="F29" s="73"/>
      <c r="G29" s="73"/>
    </row>
    <row r="30" spans="1:7" ht="15.75" thickTop="1">
      <c r="B30" s="77" t="s">
        <v>54</v>
      </c>
      <c r="C30" s="77"/>
      <c r="D30" s="234" t="s">
        <v>316</v>
      </c>
      <c r="E30" s="234" t="s">
        <v>317</v>
      </c>
      <c r="F30" s="234" t="s">
        <v>318</v>
      </c>
      <c r="G30" s="234" t="s">
        <v>319</v>
      </c>
    </row>
    <row r="31" spans="1:7">
      <c r="B31" s="77" t="s">
        <v>58</v>
      </c>
      <c r="C31" s="77"/>
      <c r="D31" s="235">
        <f>MEDIAN(D16:D28)</f>
        <v>65.22</v>
      </c>
      <c r="E31" s="235">
        <f>MEDIAN(E16:E28)</f>
        <v>6.42</v>
      </c>
      <c r="F31" s="235">
        <f>MEDIAN(F16:F28)</f>
        <v>9.674074074074074</v>
      </c>
      <c r="G31" s="81">
        <f>MEDIAN(G16:G28)</f>
        <v>0.10336906584992343</v>
      </c>
    </row>
    <row r="32" spans="1:7">
      <c r="B32" s="77" t="s">
        <v>29</v>
      </c>
      <c r="C32" s="77"/>
      <c r="D32" s="235">
        <f>AVERAGE(D16:D28)</f>
        <v>61.849999999999994</v>
      </c>
      <c r="E32" s="235">
        <f>AVERAGE(E16:E28)</f>
        <v>6.1184615384615393</v>
      </c>
      <c r="F32" s="235">
        <f>AVERAGE(F16:F28)</f>
        <v>10.293031824233513</v>
      </c>
      <c r="G32" s="236">
        <f>AVERAGE(G16:G28)</f>
        <v>0.10201944667350973</v>
      </c>
    </row>
    <row r="34" spans="1:8" ht="21">
      <c r="F34" s="58" t="s">
        <v>20</v>
      </c>
      <c r="G34" s="105">
        <v>0.10340000000000001</v>
      </c>
    </row>
    <row r="37" spans="1:8">
      <c r="A37" s="280" t="s">
        <v>320</v>
      </c>
      <c r="B37" s="281"/>
      <c r="C37" s="281"/>
      <c r="D37" s="281"/>
      <c r="E37" s="281"/>
      <c r="F37" s="281"/>
      <c r="G37" s="282"/>
    </row>
    <row r="38" spans="1:8">
      <c r="A38" s="283"/>
      <c r="G38" s="284"/>
    </row>
    <row r="39" spans="1:8">
      <c r="A39" s="283" t="s">
        <v>321</v>
      </c>
      <c r="G39" s="284"/>
    </row>
    <row r="40" spans="1:8">
      <c r="A40" s="283" t="s">
        <v>322</v>
      </c>
      <c r="G40" s="284"/>
    </row>
    <row r="41" spans="1:8">
      <c r="A41" s="283" t="s">
        <v>323</v>
      </c>
      <c r="G41" s="284"/>
    </row>
    <row r="42" spans="1:8">
      <c r="A42" s="283" t="s">
        <v>324</v>
      </c>
      <c r="G42" s="284"/>
    </row>
    <row r="43" spans="1:8">
      <c r="A43" s="285" t="s">
        <v>325</v>
      </c>
      <c r="B43" s="286"/>
      <c r="C43" s="286"/>
      <c r="D43" s="286"/>
      <c r="E43" s="286"/>
      <c r="F43" s="286"/>
      <c r="G43" s="287"/>
    </row>
    <row r="45" spans="1:8">
      <c r="A45" s="288" t="s">
        <v>326</v>
      </c>
      <c r="B45" s="281"/>
      <c r="C45" s="281"/>
      <c r="D45" s="281"/>
      <c r="E45" s="281"/>
      <c r="F45" s="281"/>
      <c r="G45" s="281"/>
      <c r="H45" s="282"/>
    </row>
    <row r="46" spans="1:8">
      <c r="A46" s="289" t="s">
        <v>327</v>
      </c>
      <c r="H46" s="284"/>
    </row>
    <row r="47" spans="1:8">
      <c r="A47" s="289" t="s">
        <v>328</v>
      </c>
      <c r="H47" s="284"/>
    </row>
    <row r="48" spans="1:8">
      <c r="A48" s="289" t="s">
        <v>329</v>
      </c>
      <c r="H48" s="284"/>
    </row>
    <row r="49" spans="1:8">
      <c r="A49" s="289" t="s">
        <v>330</v>
      </c>
      <c r="H49" s="284"/>
    </row>
    <row r="50" spans="1:8">
      <c r="A50" s="289" t="s">
        <v>331</v>
      </c>
      <c r="H50" s="284"/>
    </row>
    <row r="51" spans="1:8">
      <c r="A51" s="289" t="s">
        <v>332</v>
      </c>
      <c r="H51" s="284"/>
    </row>
    <row r="52" spans="1:8">
      <c r="A52" s="290" t="s">
        <v>333</v>
      </c>
      <c r="B52" s="286"/>
      <c r="C52" s="286"/>
      <c r="D52" s="286"/>
      <c r="E52" s="286"/>
      <c r="F52" s="286"/>
      <c r="G52" s="286"/>
      <c r="H52" s="287"/>
    </row>
  </sheetData>
  <pageMargins left="0.25" right="0.25" top="0.75" bottom="0.75" header="0.3" footer="0.3"/>
  <pageSetup scale="79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B5A59-4587-4020-B556-3CA620B432E6}">
  <sheetPr codeName="Sheet5">
    <pageSetUpPr fitToPage="1"/>
  </sheetPr>
  <dimension ref="A1:L32"/>
  <sheetViews>
    <sheetView topLeftCell="A4" zoomScale="90" zoomScaleNormal="90" workbookViewId="0">
      <selection activeCell="A18" sqref="A18:XFD18"/>
    </sheetView>
  </sheetViews>
  <sheetFormatPr defaultRowHeight="15"/>
  <cols>
    <col min="1" max="1" width="43.7109375" customWidth="1"/>
    <col min="2" max="2" width="10.140625" customWidth="1"/>
    <col min="3" max="3" width="13.5703125" bestFit="1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66" t="s">
        <v>65</v>
      </c>
    </row>
    <row r="6" spans="1:12" ht="15.75">
      <c r="A6" s="66"/>
    </row>
    <row r="7" spans="1:12" ht="18.75">
      <c r="A7" s="66"/>
      <c r="D7" s="84" t="s">
        <v>83</v>
      </c>
    </row>
    <row r="8" spans="1:12" ht="18.75">
      <c r="A8" s="66"/>
      <c r="D8" s="84" t="s">
        <v>84</v>
      </c>
    </row>
    <row r="9" spans="1:12" ht="15.75">
      <c r="A9" s="66"/>
    </row>
    <row r="10" spans="1:12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12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12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12">
      <c r="A13" s="8" t="s">
        <v>6</v>
      </c>
      <c r="B13" s="8" t="s">
        <v>6</v>
      </c>
      <c r="C13" s="8" t="s">
        <v>40</v>
      </c>
      <c r="D13" s="8" t="s">
        <v>40</v>
      </c>
      <c r="E13" s="8" t="s">
        <v>6</v>
      </c>
      <c r="F13" s="8" t="s">
        <v>6</v>
      </c>
    </row>
    <row r="14" spans="1:12">
      <c r="A14" s="3"/>
      <c r="B14" s="3"/>
      <c r="C14" s="3"/>
      <c r="D14" s="3"/>
      <c r="E14" s="3"/>
      <c r="F14" s="3"/>
    </row>
    <row r="15" spans="1:12">
      <c r="K15" s="85"/>
      <c r="L15" s="85"/>
    </row>
    <row r="16" spans="1:12">
      <c r="A16" s="22" t="s">
        <v>43</v>
      </c>
      <c r="B16" s="3" t="s">
        <v>44</v>
      </c>
      <c r="C16" s="68">
        <v>43.78</v>
      </c>
      <c r="D16" s="68">
        <v>13.95</v>
      </c>
      <c r="E16" s="86">
        <f t="shared" ref="E16" si="0">C16/D16</f>
        <v>3.1383512544802872</v>
      </c>
      <c r="F16" s="72">
        <f t="shared" ref="F16" si="1">1/E16</f>
        <v>0.31863864778437639</v>
      </c>
    </row>
    <row r="17" spans="1:6" ht="15.75" thickBot="1">
      <c r="A17" s="73" t="s">
        <v>6</v>
      </c>
      <c r="B17" s="74" t="s">
        <v>6</v>
      </c>
      <c r="C17" s="87" t="s">
        <v>6</v>
      </c>
      <c r="D17" s="88" t="s">
        <v>6</v>
      </c>
      <c r="E17" s="89" t="s">
        <v>6</v>
      </c>
      <c r="F17" s="90" t="s">
        <v>6</v>
      </c>
    </row>
    <row r="18" spans="1:6" ht="15.75" thickTop="1">
      <c r="B18" s="3"/>
      <c r="C18" s="77"/>
      <c r="D18" s="77"/>
      <c r="E18" s="77"/>
      <c r="F18" s="77"/>
    </row>
    <row r="19" spans="1:6">
      <c r="B19" s="3" t="s">
        <v>58</v>
      </c>
      <c r="C19" s="86">
        <f>MEDIAN(C16:C16)</f>
        <v>43.78</v>
      </c>
      <c r="D19" s="86">
        <f>MEDIAN(D16:D16)</f>
        <v>13.95</v>
      </c>
      <c r="E19" s="86">
        <f>MEDIAN(E16:E16)</f>
        <v>3.1383512544802872</v>
      </c>
      <c r="F19" s="91">
        <f>MEDIAN(F16:F16)</f>
        <v>0.31863864778437639</v>
      </c>
    </row>
    <row r="20" spans="1:6">
      <c r="B20" s="3" t="s">
        <v>29</v>
      </c>
      <c r="C20" s="86">
        <f>AVERAGE(C16:C16)</f>
        <v>43.78</v>
      </c>
      <c r="D20" s="86">
        <f>AVERAGE(D16:D16)</f>
        <v>13.95</v>
      </c>
      <c r="E20" s="86">
        <f>AVERAGE(E16:E16)</f>
        <v>3.1383512544802872</v>
      </c>
      <c r="F20" s="91">
        <f>AVERAGE(F16:F16)</f>
        <v>0.31863864778437639</v>
      </c>
    </row>
    <row r="21" spans="1:6">
      <c r="B21" s="3"/>
      <c r="C21" s="86"/>
      <c r="D21" s="86"/>
      <c r="E21" s="86"/>
      <c r="F21" s="81"/>
    </row>
    <row r="22" spans="1:6" ht="21">
      <c r="B22" s="3"/>
      <c r="C22" s="86"/>
      <c r="D22" s="86"/>
      <c r="E22" s="92" t="s">
        <v>20</v>
      </c>
      <c r="F22" s="83">
        <v>0.31859999999999999</v>
      </c>
    </row>
    <row r="23" spans="1:6">
      <c r="B23" s="3"/>
      <c r="C23" s="93"/>
      <c r="D23" s="93"/>
      <c r="E23" s="93"/>
      <c r="F23" s="94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A2048-B2C9-4A39-B333-EAA01805C329}">
  <sheetPr codeName="Sheet61">
    <pageSetUpPr fitToPage="1"/>
  </sheetPr>
  <dimension ref="A1:F25"/>
  <sheetViews>
    <sheetView topLeftCell="A6" zoomScaleNormal="100" workbookViewId="0">
      <selection activeCell="L12" sqref="L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5.140625" customWidth="1"/>
    <col min="5" max="5" width="20.85546875" bestFit="1" customWidth="1"/>
    <col min="6" max="6" width="19.42578125" customWidth="1"/>
  </cols>
  <sheetData>
    <row r="1" spans="1:6" ht="21">
      <c r="C1" s="1" t="s">
        <v>0</v>
      </c>
    </row>
    <row r="2" spans="1:6" ht="15.75">
      <c r="C2" s="2" t="s">
        <v>1</v>
      </c>
    </row>
    <row r="3" spans="1:6">
      <c r="A3" s="190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334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</row>
    <row r="17" spans="1:6">
      <c r="A17" s="3"/>
      <c r="B17" s="3"/>
      <c r="C17" s="3"/>
      <c r="D17" s="3"/>
      <c r="E17" s="3"/>
      <c r="F17" s="3"/>
    </row>
    <row r="18" spans="1:6" ht="15.75">
      <c r="A18" s="2" t="s">
        <v>17</v>
      </c>
      <c r="B18" s="9">
        <f>+'[8]S&amp;D'!H49</f>
        <v>0.53</v>
      </c>
      <c r="C18" s="9">
        <f>+'[8]CF Multiples'!G29</f>
        <v>0.1152</v>
      </c>
      <c r="D18" s="2" t="s">
        <v>177</v>
      </c>
      <c r="E18" s="10">
        <f>+C18</f>
        <v>0.1152</v>
      </c>
      <c r="F18" s="11">
        <f>+E18*B18</f>
        <v>6.1055999999999999E-2</v>
      </c>
    </row>
    <row r="19" spans="1:6" ht="15.75">
      <c r="A19" s="2" t="s">
        <v>6</v>
      </c>
      <c r="B19" s="13" t="s">
        <v>6</v>
      </c>
      <c r="C19" s="13" t="s">
        <v>6</v>
      </c>
      <c r="D19" s="2" t="s">
        <v>6</v>
      </c>
      <c r="E19" s="14" t="s">
        <v>6</v>
      </c>
      <c r="F19" s="11" t="s">
        <v>6</v>
      </c>
    </row>
    <row r="20" spans="1:6" ht="15.75">
      <c r="A20" s="2" t="s">
        <v>18</v>
      </c>
      <c r="B20" s="9">
        <f>+'[8]S&amp;D'!I49</f>
        <v>0.47</v>
      </c>
      <c r="C20" s="9">
        <f>+[8]Debt!I25</f>
        <v>3.3500000000000002E-2</v>
      </c>
      <c r="D20" s="9">
        <v>0.26</v>
      </c>
      <c r="E20" s="10">
        <f>+C20*(1-D20)</f>
        <v>2.479E-2</v>
      </c>
      <c r="F20" s="11">
        <f>+B20*E20</f>
        <v>1.16513E-2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53" t="s">
        <v>6</v>
      </c>
    </row>
    <row r="22" spans="1:6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7.2707300000000002E-2</v>
      </c>
    </row>
    <row r="23" spans="1:6" ht="15.75">
      <c r="A23" s="24"/>
      <c r="B23" s="24"/>
      <c r="C23" s="24"/>
      <c r="D23" s="24"/>
      <c r="E23" s="24"/>
      <c r="F23" s="24"/>
    </row>
    <row r="24" spans="1:6" ht="15.75">
      <c r="E24" s="14" t="s">
        <v>20</v>
      </c>
      <c r="F24" s="11">
        <v>7.2700000000000001E-2</v>
      </c>
    </row>
    <row r="25" spans="1:6">
      <c r="F25" t="s">
        <v>6</v>
      </c>
    </row>
  </sheetData>
  <pageMargins left="0.25" right="0.25" top="0.75" bottom="0.75" header="0.3" footer="0.3"/>
  <pageSetup scale="8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DFAF0-1B49-4840-BA0E-64E60552BFE2}">
  <sheetPr codeName="Sheet62">
    <pageSetUpPr fitToPage="1"/>
  </sheetPr>
  <dimension ref="A1:M50"/>
  <sheetViews>
    <sheetView topLeftCell="A26" zoomScale="80" zoomScaleNormal="80" zoomScalePageLayoutView="70" workbookViewId="0">
      <pane xSplit="1" topLeftCell="B1" activePane="topRight" state="frozen"/>
      <selection activeCell="L12" sqref="L12"/>
      <selection pane="topRight" activeCell="A26" sqref="A26"/>
    </sheetView>
  </sheetViews>
  <sheetFormatPr defaultRowHeight="15"/>
  <cols>
    <col min="1" max="1" width="54.7109375" customWidth="1"/>
    <col min="2" max="2" width="10.85546875" bestFit="1" customWidth="1"/>
    <col min="3" max="3" width="22.5703125" bestFit="1" customWidth="1"/>
    <col min="4" max="4" width="22.5703125" customWidth="1"/>
    <col min="5" max="5" width="19.28515625" bestFit="1" customWidth="1"/>
    <col min="6" max="6" width="21.42578125" bestFit="1" customWidth="1"/>
    <col min="7" max="7" width="23.140625" bestFit="1" customWidth="1"/>
    <col min="8" max="8" width="27" customWidth="1"/>
    <col min="9" max="9" width="25.28515625" customWidth="1"/>
    <col min="10" max="10" width="26.28515625" customWidth="1"/>
    <col min="11" max="11" width="28.140625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2" ht="21">
      <c r="A1" s="291" t="s">
        <v>0</v>
      </c>
    </row>
    <row r="2" spans="1:12" ht="15.75">
      <c r="A2" s="24" t="s">
        <v>1</v>
      </c>
    </row>
    <row r="3" spans="1:12">
      <c r="A3" s="190" t="s">
        <v>2</v>
      </c>
    </row>
    <row r="4" spans="1:12">
      <c r="A4" s="190"/>
    </row>
    <row r="5" spans="1:12">
      <c r="E5" s="4"/>
      <c r="K5" t="s">
        <v>6</v>
      </c>
    </row>
    <row r="6" spans="1:12">
      <c r="A6" s="25" t="s">
        <v>21</v>
      </c>
    </row>
    <row r="7" spans="1:12">
      <c r="A7" s="25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335</v>
      </c>
      <c r="B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34"/>
      <c r="C11" s="267"/>
      <c r="D11" s="267"/>
      <c r="E11" s="267"/>
      <c r="F11" s="267"/>
      <c r="G11" s="267"/>
      <c r="H11" s="112" t="s">
        <v>23</v>
      </c>
      <c r="I11" s="268"/>
      <c r="J11" s="292"/>
    </row>
    <row r="12" spans="1:12" ht="15.75">
      <c r="A12" s="36"/>
      <c r="B12" s="36"/>
      <c r="C12" s="193"/>
      <c r="D12" s="194" t="s">
        <v>24</v>
      </c>
      <c r="E12" s="194" t="s">
        <v>24</v>
      </c>
      <c r="F12" s="194" t="s">
        <v>24</v>
      </c>
      <c r="G12" s="193"/>
      <c r="H12" s="35" t="s">
        <v>25</v>
      </c>
      <c r="I12" s="195" t="s">
        <v>23</v>
      </c>
      <c r="J12" s="222" t="s">
        <v>23</v>
      </c>
    </row>
    <row r="13" spans="1:12" ht="15.75">
      <c r="A13" s="36" t="s">
        <v>6</v>
      </c>
      <c r="B13" s="36" t="s">
        <v>26</v>
      </c>
      <c r="C13" s="193" t="s">
        <v>27</v>
      </c>
      <c r="D13" s="194" t="s">
        <v>28</v>
      </c>
      <c r="E13" s="194" t="s">
        <v>28</v>
      </c>
      <c r="F13" s="194" t="s">
        <v>29</v>
      </c>
      <c r="G13" s="195" t="s">
        <v>23</v>
      </c>
      <c r="H13" s="36" t="s">
        <v>30</v>
      </c>
      <c r="I13" s="193" t="s">
        <v>31</v>
      </c>
      <c r="J13" s="115" t="s">
        <v>47</v>
      </c>
    </row>
    <row r="14" spans="1:12" ht="16.5" thickBot="1">
      <c r="A14" s="39" t="s">
        <v>33</v>
      </c>
      <c r="B14" s="39" t="s">
        <v>34</v>
      </c>
      <c r="C14" s="200" t="s">
        <v>35</v>
      </c>
      <c r="D14" s="200" t="s">
        <v>36</v>
      </c>
      <c r="E14" s="200" t="s">
        <v>37</v>
      </c>
      <c r="F14" s="200" t="s">
        <v>28</v>
      </c>
      <c r="G14" s="200" t="s">
        <v>28</v>
      </c>
      <c r="H14" s="40" t="s">
        <v>336</v>
      </c>
      <c r="I14" s="201" t="s">
        <v>155</v>
      </c>
      <c r="J14" s="293" t="s">
        <v>155</v>
      </c>
    </row>
    <row r="15" spans="1:12" ht="15.75">
      <c r="A15" s="41" t="s">
        <v>40</v>
      </c>
      <c r="B15" s="41" t="s">
        <v>40</v>
      </c>
      <c r="C15" s="202" t="s">
        <v>40</v>
      </c>
      <c r="D15" s="202" t="s">
        <v>40</v>
      </c>
      <c r="E15" s="202" t="s">
        <v>40</v>
      </c>
      <c r="F15" s="202" t="s">
        <v>40</v>
      </c>
      <c r="G15" s="202" t="s">
        <v>40</v>
      </c>
      <c r="H15" s="41" t="s">
        <v>42</v>
      </c>
      <c r="I15" s="202" t="s">
        <v>42</v>
      </c>
      <c r="J15" s="119" t="s">
        <v>42</v>
      </c>
    </row>
    <row r="16" spans="1:12" ht="15.75">
      <c r="A16" s="36"/>
      <c r="B16" s="36"/>
      <c r="C16" s="193"/>
      <c r="D16" s="193"/>
      <c r="E16" s="193"/>
      <c r="F16" s="193"/>
      <c r="G16" s="193"/>
      <c r="H16" s="36"/>
      <c r="I16" s="203"/>
      <c r="J16" s="120"/>
    </row>
    <row r="17" spans="1:13" ht="15.75">
      <c r="A17" s="160" t="s">
        <v>337</v>
      </c>
      <c r="B17" s="3" t="s">
        <v>338</v>
      </c>
      <c r="C17" s="250" t="s">
        <v>339</v>
      </c>
      <c r="D17" s="207">
        <v>27.52</v>
      </c>
      <c r="E17" s="207">
        <v>26.03</v>
      </c>
      <c r="F17" s="207">
        <f t="shared" ref="F17:F25" si="0">AVERAGE(D17,E17)</f>
        <v>26.774999999999999</v>
      </c>
      <c r="G17" s="207">
        <v>27.48</v>
      </c>
      <c r="H17" s="45">
        <v>208373672</v>
      </c>
      <c r="I17" s="208">
        <f>500000+6450000+4400000</f>
        <v>11350000</v>
      </c>
      <c r="J17" s="294">
        <f>(355+5078)*1000000</f>
        <v>5433000000</v>
      </c>
    </row>
    <row r="18" spans="1:13" ht="15.75">
      <c r="A18" s="160" t="s">
        <v>340</v>
      </c>
      <c r="B18" s="3" t="s">
        <v>341</v>
      </c>
      <c r="C18" s="250" t="s">
        <v>342</v>
      </c>
      <c r="D18" s="207">
        <v>49.46</v>
      </c>
      <c r="E18" s="207">
        <v>48.91</v>
      </c>
      <c r="F18" s="207">
        <f t="shared" si="0"/>
        <v>49.185000000000002</v>
      </c>
      <c r="G18" s="207">
        <v>49.41</v>
      </c>
      <c r="H18" s="45">
        <v>2026000000</v>
      </c>
      <c r="I18" s="208">
        <f>(7747000000)*0.79111</f>
        <v>6128729170</v>
      </c>
      <c r="J18" s="294">
        <f>((6164+67961)*1000000)*0.79111</f>
        <v>58641028750</v>
      </c>
    </row>
    <row r="19" spans="1:13" ht="15.75">
      <c r="A19" s="160" t="s">
        <v>343</v>
      </c>
      <c r="B19" s="3" t="s">
        <v>344</v>
      </c>
      <c r="C19" s="250" t="s">
        <v>339</v>
      </c>
      <c r="D19" s="43">
        <v>8.23</v>
      </c>
      <c r="E19" s="207">
        <v>8.11</v>
      </c>
      <c r="F19" s="43">
        <f t="shared" si="0"/>
        <v>8.17</v>
      </c>
      <c r="G19" s="207">
        <v>8.23</v>
      </c>
      <c r="H19" s="45">
        <v>3082517494</v>
      </c>
      <c r="I19" s="208">
        <v>72184780</v>
      </c>
      <c r="J19" s="208">
        <f>(680+49022)*1000000</f>
        <v>49702000000</v>
      </c>
    </row>
    <row r="20" spans="1:13" ht="15.75">
      <c r="A20" s="160" t="s">
        <v>345</v>
      </c>
      <c r="B20" s="3" t="s">
        <v>346</v>
      </c>
      <c r="C20" s="250" t="s">
        <v>342</v>
      </c>
      <c r="D20" s="207">
        <v>6.93</v>
      </c>
      <c r="E20" s="207">
        <v>6.75</v>
      </c>
      <c r="F20" s="207">
        <f t="shared" si="0"/>
        <v>6.84</v>
      </c>
      <c r="G20" s="207">
        <v>6.89</v>
      </c>
      <c r="H20" s="45">
        <v>484277258</v>
      </c>
      <c r="I20" s="208">
        <f>1662600000</f>
        <v>1662600000</v>
      </c>
      <c r="J20" s="294">
        <f>4363700000+0</f>
        <v>4363700000</v>
      </c>
    </row>
    <row r="21" spans="1:13" ht="15.75">
      <c r="A21" s="160" t="s">
        <v>347</v>
      </c>
      <c r="B21" s="70" t="s">
        <v>348</v>
      </c>
      <c r="C21" s="250" t="s">
        <v>339</v>
      </c>
      <c r="D21" s="207">
        <v>22.05</v>
      </c>
      <c r="E21" s="207">
        <v>21.61</v>
      </c>
      <c r="F21" s="207">
        <f>AVERAGE(D21,E21)</f>
        <v>21.83</v>
      </c>
      <c r="G21" s="207">
        <v>21.96</v>
      </c>
      <c r="H21" s="44">
        <v>2176379587</v>
      </c>
      <c r="I21" s="208">
        <v>0</v>
      </c>
      <c r="J21" s="295">
        <f>(625.9+28135.3)*1000000</f>
        <v>28761200000</v>
      </c>
    </row>
    <row r="22" spans="1:13" ht="15.75">
      <c r="A22" s="160" t="s">
        <v>349</v>
      </c>
      <c r="B22" s="70" t="s">
        <v>350</v>
      </c>
      <c r="C22" s="250" t="s">
        <v>342</v>
      </c>
      <c r="D22" s="207">
        <v>15.94</v>
      </c>
      <c r="E22" s="207">
        <v>15.75</v>
      </c>
      <c r="F22" s="207">
        <f>AVERAGE(D22,E22)</f>
        <v>15.844999999999999</v>
      </c>
      <c r="G22" s="207">
        <v>15.86</v>
      </c>
      <c r="H22" s="45">
        <v>2267391527</v>
      </c>
      <c r="I22" s="208">
        <v>0</v>
      </c>
      <c r="J22" s="294">
        <f>(30674+2646)*1000000</f>
        <v>33320000000</v>
      </c>
    </row>
    <row r="23" spans="1:13" ht="15.75">
      <c r="A23" s="160" t="s">
        <v>351</v>
      </c>
      <c r="B23" s="70" t="s">
        <v>352</v>
      </c>
      <c r="C23" s="250" t="s">
        <v>342</v>
      </c>
      <c r="D23" s="207">
        <v>59.13</v>
      </c>
      <c r="E23" s="207">
        <v>58.25</v>
      </c>
      <c r="F23" s="207">
        <f t="shared" si="0"/>
        <v>58.69</v>
      </c>
      <c r="G23" s="207">
        <v>58.76</v>
      </c>
      <c r="H23" s="45">
        <f>446138177</f>
        <v>446138177</v>
      </c>
      <c r="I23" s="208">
        <v>0</v>
      </c>
      <c r="J23" s="294">
        <f>(12747636+895814)*1000</f>
        <v>13643450000</v>
      </c>
    </row>
    <row r="24" spans="1:13" ht="15.75">
      <c r="A24" s="160" t="s">
        <v>353</v>
      </c>
      <c r="B24" s="70" t="s">
        <v>354</v>
      </c>
      <c r="C24" s="250" t="s">
        <v>342</v>
      </c>
      <c r="D24" s="207">
        <v>46.64</v>
      </c>
      <c r="E24" s="207">
        <v>46.14</v>
      </c>
      <c r="F24" s="207">
        <f>AVERAGE(D24,E24)</f>
        <v>46.39</v>
      </c>
      <c r="G24" s="207">
        <v>46.54</v>
      </c>
      <c r="H24" s="45">
        <v>980815927</v>
      </c>
      <c r="I24" s="208">
        <f>142000000/0.79111</f>
        <v>179494634.12167713</v>
      </c>
      <c r="J24" s="294">
        <f>((38661)*1000000)*0.79111</f>
        <v>30585103710</v>
      </c>
    </row>
    <row r="25" spans="1:13" ht="15.75">
      <c r="A25" s="160" t="s">
        <v>355</v>
      </c>
      <c r="B25" s="70" t="s">
        <v>356</v>
      </c>
      <c r="C25" s="250" t="s">
        <v>342</v>
      </c>
      <c r="D25" s="207">
        <v>26.15</v>
      </c>
      <c r="E25" s="207">
        <v>25.82</v>
      </c>
      <c r="F25" s="207">
        <f t="shared" si="0"/>
        <v>25.984999999999999</v>
      </c>
      <c r="G25" s="207">
        <v>26.04</v>
      </c>
      <c r="H25" s="45">
        <f>1250000000-35000000</f>
        <v>1215000000</v>
      </c>
      <c r="I25" s="208">
        <v>35000000</v>
      </c>
      <c r="J25" s="294">
        <f>(21650+2025)*1000000</f>
        <v>23675000000</v>
      </c>
      <c r="M25" t="s">
        <v>6</v>
      </c>
    </row>
    <row r="26" spans="1:13" ht="16.5" thickBot="1">
      <c r="A26" s="46"/>
      <c r="B26" s="46"/>
      <c r="C26" s="296"/>
      <c r="D26" s="296"/>
      <c r="E26" s="296"/>
      <c r="F26" s="296"/>
      <c r="G26" s="296"/>
      <c r="H26" s="46"/>
      <c r="I26" s="296"/>
      <c r="J26" s="227"/>
    </row>
    <row r="27" spans="1:13" ht="15.7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3" ht="16.5" thickBot="1">
      <c r="A28" s="136" t="s">
        <v>6</v>
      </c>
      <c r="B28" s="47"/>
      <c r="C28" s="47"/>
      <c r="D28" s="47"/>
      <c r="E28" s="47"/>
      <c r="F28" s="47"/>
      <c r="G28" s="47"/>
      <c r="H28" s="47"/>
      <c r="I28" s="47"/>
      <c r="J28" s="47" t="s">
        <v>6</v>
      </c>
      <c r="K28" s="47"/>
      <c r="L28" s="47"/>
    </row>
    <row r="29" spans="1:13" ht="15.75">
      <c r="A29" s="110"/>
      <c r="B29" s="111"/>
      <c r="C29" s="111"/>
      <c r="D29" s="112" t="s">
        <v>357</v>
      </c>
      <c r="E29" s="112" t="s">
        <v>23</v>
      </c>
      <c r="F29" s="112" t="s">
        <v>23</v>
      </c>
      <c r="G29" s="112" t="s">
        <v>23</v>
      </c>
      <c r="H29" s="112" t="s">
        <v>23</v>
      </c>
      <c r="I29" s="113" t="s">
        <v>23</v>
      </c>
      <c r="J29" t="s">
        <v>6</v>
      </c>
      <c r="K29" s="47" t="s">
        <v>6</v>
      </c>
    </row>
    <row r="30" spans="1:13" ht="15.75">
      <c r="A30" s="114" t="s">
        <v>6</v>
      </c>
      <c r="B30" s="36" t="s">
        <v>26</v>
      </c>
      <c r="C30" s="36" t="s">
        <v>27</v>
      </c>
      <c r="D30" s="36" t="s">
        <v>25</v>
      </c>
      <c r="E30" s="36" t="s">
        <v>31</v>
      </c>
      <c r="F30" s="38" t="s">
        <v>213</v>
      </c>
      <c r="G30" s="38" t="s">
        <v>48</v>
      </c>
      <c r="H30" s="38" t="s">
        <v>49</v>
      </c>
      <c r="I30" s="115" t="s">
        <v>214</v>
      </c>
      <c r="J30" t="s">
        <v>6</v>
      </c>
      <c r="K30" s="47" t="s">
        <v>6</v>
      </c>
    </row>
    <row r="31" spans="1:13" ht="16.5" thickBot="1">
      <c r="A31" s="116" t="s">
        <v>33</v>
      </c>
      <c r="B31" s="39" t="s">
        <v>34</v>
      </c>
      <c r="C31" s="39" t="s">
        <v>35</v>
      </c>
      <c r="D31" s="39" t="s">
        <v>51</v>
      </c>
      <c r="E31" s="39" t="s">
        <v>51</v>
      </c>
      <c r="F31" s="39" t="s">
        <v>51</v>
      </c>
      <c r="G31" s="39" t="s">
        <v>52</v>
      </c>
      <c r="H31" s="39" t="s">
        <v>6</v>
      </c>
      <c r="I31" s="117" t="s">
        <v>6</v>
      </c>
      <c r="J31" t="s">
        <v>6</v>
      </c>
      <c r="K31" s="47" t="s">
        <v>6</v>
      </c>
    </row>
    <row r="32" spans="1:13" ht="15.75">
      <c r="A32" s="118" t="s">
        <v>40</v>
      </c>
      <c r="B32" s="41" t="s">
        <v>40</v>
      </c>
      <c r="C32" s="41" t="s">
        <v>40</v>
      </c>
      <c r="D32" s="41" t="s">
        <v>53</v>
      </c>
      <c r="E32" s="41" t="s">
        <v>42</v>
      </c>
      <c r="F32" s="41" t="s">
        <v>42</v>
      </c>
      <c r="G32" s="41" t="s">
        <v>53</v>
      </c>
      <c r="H32" s="41" t="s">
        <v>53</v>
      </c>
      <c r="I32" s="119" t="s">
        <v>53</v>
      </c>
      <c r="J32" t="s">
        <v>6</v>
      </c>
      <c r="K32" s="47" t="s">
        <v>6</v>
      </c>
    </row>
    <row r="33" spans="1:11" ht="15.75">
      <c r="A33" s="114"/>
      <c r="B33" s="36"/>
      <c r="C33" s="36"/>
      <c r="D33" s="36"/>
      <c r="E33" s="36"/>
      <c r="F33" s="36"/>
      <c r="G33" s="36"/>
      <c r="H33" s="36"/>
      <c r="I33" s="297"/>
      <c r="J33" t="s">
        <v>6</v>
      </c>
      <c r="K33" s="47" t="s">
        <v>6</v>
      </c>
    </row>
    <row r="34" spans="1:11" ht="15.75">
      <c r="A34" s="298" t="str">
        <f t="shared" ref="A34:C42" si="1">+A17</f>
        <v>DCP Midstream LP</v>
      </c>
      <c r="B34" s="2" t="str">
        <f t="shared" si="1"/>
        <v>DCP</v>
      </c>
      <c r="C34" s="2" t="str">
        <f t="shared" si="1"/>
        <v>Pipeline MLPs</v>
      </c>
      <c r="D34" s="122">
        <f>(+H17)*G17</f>
        <v>5726108506.5600004</v>
      </c>
      <c r="E34" s="123">
        <f>(1/1)*I17</f>
        <v>11350000</v>
      </c>
      <c r="F34" s="45">
        <f>(6107/5445)*J17</f>
        <v>6093541046.8319559</v>
      </c>
      <c r="G34" s="139">
        <f t="shared" ref="G34:G42" si="2">+D34+E34+F34</f>
        <v>11830999553.391956</v>
      </c>
      <c r="H34" s="124">
        <f t="shared" ref="H34:H42" si="3">(+D34)/G34</f>
        <v>0.48399194681047225</v>
      </c>
      <c r="I34" s="125">
        <f t="shared" ref="I34:I42" si="4">(+E34+F34)/G34</f>
        <v>0.5160080531895278</v>
      </c>
      <c r="J34" t="s">
        <v>6</v>
      </c>
      <c r="K34" t="s">
        <v>6</v>
      </c>
    </row>
    <row r="35" spans="1:11" ht="15.75">
      <c r="A35" s="298" t="str">
        <f t="shared" si="1"/>
        <v>Enbridge Inc</v>
      </c>
      <c r="B35" s="2" t="str">
        <f t="shared" si="1"/>
        <v>ENB.TO</v>
      </c>
      <c r="C35" s="2" t="str">
        <f t="shared" si="1"/>
        <v>Oil &amp; Gas Distribution</v>
      </c>
      <c r="D35" s="123">
        <f>(+H18)*G18</f>
        <v>100104660000</v>
      </c>
      <c r="E35" s="123">
        <f>(1/1)*I18</f>
        <v>6128729170</v>
      </c>
      <c r="F35" s="45">
        <f>(82/74.4)*J18</f>
        <v>64631241364.247307</v>
      </c>
      <c r="G35" s="139">
        <f t="shared" si="2"/>
        <v>170864630534.24731</v>
      </c>
      <c r="H35" s="124">
        <f t="shared" si="3"/>
        <v>0.58587116413151108</v>
      </c>
      <c r="I35" s="125">
        <f t="shared" si="4"/>
        <v>0.41412883586848898</v>
      </c>
      <c r="K35" s="47"/>
    </row>
    <row r="36" spans="1:11" ht="15.75">
      <c r="A36" s="298" t="str">
        <f t="shared" si="1"/>
        <v>Energy Transfer LP</v>
      </c>
      <c r="B36" s="2" t="str">
        <f t="shared" si="1"/>
        <v>ET</v>
      </c>
      <c r="C36" s="2" t="str">
        <f t="shared" si="1"/>
        <v>Pipeline MLPs</v>
      </c>
      <c r="D36" s="123">
        <f t="shared" ref="D36:D42" si="5">(+H19)*G19</f>
        <v>25369118975.620003</v>
      </c>
      <c r="E36" s="123">
        <f>(1/1)*I19</f>
        <v>72184780</v>
      </c>
      <c r="F36" s="45">
        <f>(54.97/49.7)*J19</f>
        <v>54972212072.434608</v>
      </c>
      <c r="G36" s="139">
        <f t="shared" si="2"/>
        <v>80413515828.054611</v>
      </c>
      <c r="H36" s="124">
        <f t="shared" si="3"/>
        <v>0.31548327062164394</v>
      </c>
      <c r="I36" s="125">
        <f t="shared" si="4"/>
        <v>0.68451672937835606</v>
      </c>
      <c r="J36" s="85" t="s">
        <v>6</v>
      </c>
      <c r="K36" s="47"/>
    </row>
    <row r="37" spans="1:11" ht="15.75">
      <c r="A37" s="298" t="str">
        <f t="shared" si="1"/>
        <v>Enlink Midstream LLC</v>
      </c>
      <c r="B37" s="2" t="str">
        <f t="shared" si="1"/>
        <v>ENLC</v>
      </c>
      <c r="C37" s="2" t="str">
        <f t="shared" si="1"/>
        <v>Oil &amp; Gas Distribution</v>
      </c>
      <c r="D37" s="123">
        <f t="shared" si="5"/>
        <v>3336670307.6199999</v>
      </c>
      <c r="E37" s="123">
        <f t="shared" ref="E37:E42" si="6">(1/1)*I20</f>
        <v>1662600000</v>
      </c>
      <c r="F37" s="45">
        <f>(4520/4363.7)*J20</f>
        <v>4520000000</v>
      </c>
      <c r="G37" s="139">
        <f t="shared" si="2"/>
        <v>9519270307.6199989</v>
      </c>
      <c r="H37" s="124">
        <f t="shared" si="3"/>
        <v>0.35051744511856725</v>
      </c>
      <c r="I37" s="125">
        <f t="shared" si="4"/>
        <v>0.64948255488143281</v>
      </c>
      <c r="K37" s="47"/>
    </row>
    <row r="38" spans="1:11" ht="15.75">
      <c r="A38" s="298" t="str">
        <f t="shared" si="1"/>
        <v>Enterprise Products Partnership LP</v>
      </c>
      <c r="B38" s="2" t="str">
        <f t="shared" si="1"/>
        <v>EPD</v>
      </c>
      <c r="C38" s="2" t="str">
        <f t="shared" si="1"/>
        <v>Pipeline MLPs</v>
      </c>
      <c r="D38" s="122">
        <f t="shared" si="5"/>
        <v>47793295730.520004</v>
      </c>
      <c r="E38" s="123">
        <f t="shared" si="6"/>
        <v>0</v>
      </c>
      <c r="F38" s="45">
        <f>(33.48/29.58)*J21</f>
        <v>32553244624.746452</v>
      </c>
      <c r="G38" s="139">
        <f t="shared" si="2"/>
        <v>80346540355.266449</v>
      </c>
      <c r="H38" s="124">
        <f t="shared" si="3"/>
        <v>0.59483949799448099</v>
      </c>
      <c r="I38" s="125">
        <f t="shared" si="4"/>
        <v>0.40516050200551906</v>
      </c>
      <c r="J38" t="s">
        <v>6</v>
      </c>
      <c r="K38" s="47"/>
    </row>
    <row r="39" spans="1:11" ht="15.75">
      <c r="A39" s="298" t="str">
        <f t="shared" si="1"/>
        <v>Kinder Morgan Inc</v>
      </c>
      <c r="B39" s="2" t="str">
        <f t="shared" si="1"/>
        <v>KMI</v>
      </c>
      <c r="C39" s="2" t="str">
        <f t="shared" si="1"/>
        <v>Oil &amp; Gas Distribution</v>
      </c>
      <c r="D39" s="122">
        <f t="shared" si="5"/>
        <v>35960829618.220001</v>
      </c>
      <c r="E39" s="123">
        <f t="shared" si="6"/>
        <v>0</v>
      </c>
      <c r="F39" s="45">
        <f>(37775/33320)*J22</f>
        <v>37775000000</v>
      </c>
      <c r="G39" s="139">
        <f t="shared" si="2"/>
        <v>73735829618.220001</v>
      </c>
      <c r="H39" s="124">
        <f t="shared" si="3"/>
        <v>0.48769817610262761</v>
      </c>
      <c r="I39" s="125">
        <f t="shared" si="4"/>
        <v>0.51230182389737244</v>
      </c>
      <c r="K39" s="47"/>
    </row>
    <row r="40" spans="1:11" ht="15.75">
      <c r="A40" s="298" t="str">
        <f t="shared" si="1"/>
        <v>ONEOK Inc</v>
      </c>
      <c r="B40" s="2" t="str">
        <f t="shared" si="1"/>
        <v>OKE</v>
      </c>
      <c r="C40" s="2" t="str">
        <f t="shared" si="1"/>
        <v>Oil &amp; Gas Distribution</v>
      </c>
      <c r="D40" s="122">
        <f t="shared" si="5"/>
        <v>26215079280.52</v>
      </c>
      <c r="E40" s="123">
        <f t="shared" si="6"/>
        <v>0</v>
      </c>
      <c r="F40" s="45">
        <f>(15.6/13.6)*J23</f>
        <v>15649839705.882351</v>
      </c>
      <c r="G40" s="139">
        <f t="shared" si="2"/>
        <v>41864918986.402351</v>
      </c>
      <c r="H40" s="124">
        <f t="shared" si="3"/>
        <v>0.62618249157569394</v>
      </c>
      <c r="I40" s="125">
        <f t="shared" si="4"/>
        <v>0.37381750842430606</v>
      </c>
      <c r="K40" s="47"/>
    </row>
    <row r="41" spans="1:11" ht="15.75">
      <c r="A41" s="298" t="str">
        <f t="shared" si="1"/>
        <v>TC Energy Corp</v>
      </c>
      <c r="B41" s="2" t="str">
        <f t="shared" si="1"/>
        <v>TRP</v>
      </c>
      <c r="C41" s="2" t="str">
        <f t="shared" si="1"/>
        <v>Oil &amp; Gas Distribution</v>
      </c>
      <c r="D41" s="123">
        <f t="shared" si="5"/>
        <v>45647173242.580002</v>
      </c>
      <c r="E41" s="123">
        <f t="shared" si="6"/>
        <v>179494634.12167713</v>
      </c>
      <c r="F41" s="45">
        <f>(54851/47600)*J24</f>
        <v>35244191672.210289</v>
      </c>
      <c r="G41" s="139">
        <f t="shared" si="2"/>
        <v>81070859548.911957</v>
      </c>
      <c r="H41" s="124">
        <f t="shared" si="3"/>
        <v>0.56305278489171551</v>
      </c>
      <c r="I41" s="125">
        <f t="shared" si="4"/>
        <v>0.4369472151082846</v>
      </c>
      <c r="J41" t="s">
        <v>6</v>
      </c>
      <c r="K41" s="47"/>
    </row>
    <row r="42" spans="1:11" ht="15.75">
      <c r="A42" s="298" t="str">
        <f t="shared" si="1"/>
        <v>Williams Companys Inc</v>
      </c>
      <c r="B42" s="2" t="str">
        <f t="shared" si="1"/>
        <v>WMB</v>
      </c>
      <c r="C42" s="2" t="str">
        <f t="shared" si="1"/>
        <v>Oil &amp; Gas Distribution</v>
      </c>
      <c r="D42" s="122">
        <f t="shared" si="5"/>
        <v>31638600000</v>
      </c>
      <c r="E42" s="123">
        <f t="shared" si="6"/>
        <v>35000000</v>
      </c>
      <c r="F42" s="45">
        <f>(27768/23675)*J25</f>
        <v>27768000000</v>
      </c>
      <c r="G42" s="139">
        <f t="shared" si="2"/>
        <v>59441600000</v>
      </c>
      <c r="H42" s="124">
        <f t="shared" si="3"/>
        <v>0.53226359990309813</v>
      </c>
      <c r="I42" s="125">
        <f t="shared" si="4"/>
        <v>0.46773640009690182</v>
      </c>
      <c r="K42" s="47"/>
    </row>
    <row r="43" spans="1:11" ht="16.5" thickBot="1">
      <c r="A43" s="226"/>
      <c r="B43" s="46"/>
      <c r="C43" s="46"/>
      <c r="D43" s="46"/>
      <c r="E43" s="46"/>
      <c r="F43" s="46"/>
      <c r="G43" s="46"/>
      <c r="H43" s="46"/>
      <c r="I43" s="227"/>
      <c r="K43" s="47"/>
    </row>
    <row r="44" spans="1:11">
      <c r="A44" t="s">
        <v>248</v>
      </c>
    </row>
    <row r="45" spans="1:11" ht="15.75">
      <c r="A45" s="299"/>
      <c r="C45" s="56" t="s">
        <v>6</v>
      </c>
      <c r="D45" s="77" t="s">
        <v>6</v>
      </c>
      <c r="G45" s="54" t="s">
        <v>54</v>
      </c>
      <c r="H45" s="54" t="s">
        <v>358</v>
      </c>
      <c r="I45" s="54" t="s">
        <v>359</v>
      </c>
    </row>
    <row r="46" spans="1:11" ht="15.75">
      <c r="C46" s="56" t="s">
        <v>6</v>
      </c>
      <c r="D46" s="57" t="s">
        <v>6</v>
      </c>
      <c r="E46" s="85" t="s">
        <v>6</v>
      </c>
      <c r="G46" s="54" t="s">
        <v>58</v>
      </c>
      <c r="H46" s="11">
        <f>MEDIAN(H34:H42)</f>
        <v>0.53226359990309813</v>
      </c>
      <c r="I46" s="11">
        <f>MEDIAN(I34:I42)</f>
        <v>0.46773640009690182</v>
      </c>
    </row>
    <row r="47" spans="1:11" ht="15.75">
      <c r="C47" s="56" t="s">
        <v>6</v>
      </c>
      <c r="D47" s="57" t="s">
        <v>6</v>
      </c>
      <c r="E47" s="85" t="s">
        <v>6</v>
      </c>
      <c r="G47" s="54" t="s">
        <v>29</v>
      </c>
      <c r="H47" s="11">
        <f>AVERAGE(H34:H42)</f>
        <v>0.50443337523886789</v>
      </c>
      <c r="I47" s="11">
        <f>AVERAGE(I34:I42)</f>
        <v>0.49556662476113217</v>
      </c>
    </row>
    <row r="48" spans="1:11" ht="15.75">
      <c r="E48" s="85" t="s">
        <v>6</v>
      </c>
      <c r="G48" s="24"/>
      <c r="H48" s="24"/>
      <c r="I48" s="24"/>
    </row>
    <row r="49" spans="7:11" ht="21">
      <c r="G49" s="58" t="s">
        <v>20</v>
      </c>
      <c r="H49" s="300">
        <v>0.53</v>
      </c>
      <c r="I49" s="300">
        <v>0.47</v>
      </c>
    </row>
    <row r="50" spans="7:11" ht="15.75">
      <c r="G50" t="s">
        <v>6</v>
      </c>
      <c r="H50" s="24"/>
      <c r="I50" s="24"/>
      <c r="K50" s="24"/>
    </row>
  </sheetData>
  <pageMargins left="0.25" right="0.25" top="0.75" bottom="0.75" header="0.3" footer="0.3"/>
  <pageSetup scale="32" orientation="portrait" r:id="rId1"/>
  <rowBreaks count="1" manualBreakCount="1">
    <brk id="50" max="10" man="1"/>
  </rowBreaks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F003-0B18-43B1-8B7F-A9352CF11A3C}">
  <sheetPr codeName="Sheet63">
    <pageSetUpPr fitToPage="1"/>
  </sheetPr>
  <dimension ref="A1:J25"/>
  <sheetViews>
    <sheetView topLeftCell="A5" zoomScaleNormal="100" workbookViewId="0">
      <selection activeCell="L12" sqref="L12"/>
    </sheetView>
  </sheetViews>
  <sheetFormatPr defaultRowHeight="15"/>
  <cols>
    <col min="1" max="1" width="45.140625" customWidth="1"/>
    <col min="2" max="2" width="10.85546875" bestFit="1" customWidth="1"/>
    <col min="3" max="3" width="25" customWidth="1"/>
    <col min="4" max="4" width="13.85546875" customWidth="1"/>
    <col min="5" max="5" width="14.85546875" customWidth="1"/>
    <col min="6" max="6" width="13" customWidth="1"/>
    <col min="7" max="7" width="12.140625" customWidth="1"/>
    <col min="8" max="8" width="22.140625" customWidth="1"/>
    <col min="9" max="9" width="16.140625" customWidth="1"/>
    <col min="10" max="10" width="16.7109375" customWidth="1"/>
  </cols>
  <sheetData>
    <row r="1" spans="1:9" ht="21">
      <c r="A1" s="23" t="s">
        <v>0</v>
      </c>
    </row>
    <row r="2" spans="1:9" ht="15.75">
      <c r="A2" s="24" t="s">
        <v>1</v>
      </c>
    </row>
    <row r="3" spans="1:9">
      <c r="A3" s="190" t="s">
        <v>2</v>
      </c>
    </row>
    <row r="4" spans="1:9">
      <c r="F4" s="4" t="s">
        <v>6</v>
      </c>
    </row>
    <row r="5" spans="1:9" ht="15.75">
      <c r="A5" s="66" t="s">
        <v>335</v>
      </c>
    </row>
    <row r="6" spans="1:9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9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143</v>
      </c>
      <c r="I7" s="3" t="s">
        <v>75</v>
      </c>
    </row>
    <row r="8" spans="1:9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9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9">
      <c r="A10" s="301"/>
      <c r="B10" s="301"/>
      <c r="C10" s="301"/>
      <c r="D10" s="301"/>
      <c r="E10" s="301"/>
      <c r="F10" s="301"/>
      <c r="G10" s="301"/>
      <c r="H10" s="301"/>
      <c r="I10" s="301"/>
    </row>
    <row r="11" spans="1:9" ht="15.75">
      <c r="A11" s="160" t="s">
        <v>337</v>
      </c>
      <c r="B11" s="3" t="s">
        <v>338</v>
      </c>
      <c r="C11" s="2" t="s">
        <v>339</v>
      </c>
      <c r="D11" s="302">
        <v>1.6</v>
      </c>
      <c r="E11" s="303">
        <v>2.5000000000000001E-2</v>
      </c>
      <c r="F11" s="233" t="s">
        <v>78</v>
      </c>
      <c r="G11" s="233"/>
      <c r="H11" s="233" t="s">
        <v>81</v>
      </c>
      <c r="I11" s="304">
        <v>6.0699999999999997E-2</v>
      </c>
    </row>
    <row r="12" spans="1:9" ht="15.75">
      <c r="A12" s="160" t="s">
        <v>340</v>
      </c>
      <c r="B12" s="3" t="s">
        <v>341</v>
      </c>
      <c r="C12" s="2" t="s">
        <v>342</v>
      </c>
      <c r="D12" s="302">
        <v>0.9</v>
      </c>
      <c r="E12" s="303">
        <v>0.15</v>
      </c>
      <c r="F12" s="233" t="s">
        <v>80</v>
      </c>
      <c r="G12" s="305"/>
      <c r="H12" s="233" t="s">
        <v>114</v>
      </c>
      <c r="I12" s="304">
        <v>3.3500000000000002E-2</v>
      </c>
    </row>
    <row r="13" spans="1:9" ht="15.75">
      <c r="A13" s="160" t="s">
        <v>343</v>
      </c>
      <c r="B13" s="3" t="s">
        <v>344</v>
      </c>
      <c r="C13" s="2" t="s">
        <v>339</v>
      </c>
      <c r="D13" s="302">
        <v>1.2</v>
      </c>
      <c r="E13" s="303">
        <v>0</v>
      </c>
      <c r="F13" s="233" t="s">
        <v>78</v>
      </c>
      <c r="G13" s="3"/>
      <c r="H13" s="233" t="s">
        <v>96</v>
      </c>
      <c r="I13" s="304">
        <v>3.3500000000000002E-2</v>
      </c>
    </row>
    <row r="14" spans="1:9" ht="15.75">
      <c r="A14" s="160" t="s">
        <v>345</v>
      </c>
      <c r="B14" s="3" t="s">
        <v>346</v>
      </c>
      <c r="C14" s="2" t="s">
        <v>342</v>
      </c>
      <c r="D14" s="302">
        <v>1.65</v>
      </c>
      <c r="E14" s="303">
        <v>0</v>
      </c>
      <c r="F14" s="233" t="s">
        <v>108</v>
      </c>
      <c r="G14" s="305" t="s">
        <v>251</v>
      </c>
      <c r="H14" s="233" t="s">
        <v>79</v>
      </c>
      <c r="I14" s="304">
        <v>6.83E-2</v>
      </c>
    </row>
    <row r="15" spans="1:9" ht="15.75">
      <c r="A15" s="160" t="s">
        <v>347</v>
      </c>
      <c r="B15" s="70" t="s">
        <v>348</v>
      </c>
      <c r="C15" s="2" t="s">
        <v>339</v>
      </c>
      <c r="D15" s="302">
        <v>1.1000000000000001</v>
      </c>
      <c r="E15" s="303">
        <v>0.01</v>
      </c>
      <c r="F15" s="233" t="s">
        <v>80</v>
      </c>
      <c r="G15" s="233" t="s">
        <v>220</v>
      </c>
      <c r="H15" s="233" t="s">
        <v>114</v>
      </c>
      <c r="I15" s="304">
        <v>3.3500000000000002E-2</v>
      </c>
    </row>
    <row r="16" spans="1:9" ht="15.75">
      <c r="A16" s="160" t="s">
        <v>349</v>
      </c>
      <c r="B16" s="70" t="s">
        <v>350</v>
      </c>
      <c r="C16" s="2" t="s">
        <v>342</v>
      </c>
      <c r="D16" s="302">
        <v>1.1499999999999999</v>
      </c>
      <c r="E16" s="303">
        <v>0.16600000000000001</v>
      </c>
      <c r="F16" s="233" t="s">
        <v>124</v>
      </c>
      <c r="G16" s="233" t="s">
        <v>127</v>
      </c>
      <c r="H16" s="233" t="s">
        <v>146</v>
      </c>
      <c r="I16" s="304">
        <v>3.3500000000000002E-2</v>
      </c>
    </row>
    <row r="17" spans="1:10" ht="15.75">
      <c r="A17" s="160" t="s">
        <v>351</v>
      </c>
      <c r="B17" s="70" t="s">
        <v>352</v>
      </c>
      <c r="C17" s="2" t="s">
        <v>342</v>
      </c>
      <c r="D17" s="302">
        <v>1.5</v>
      </c>
      <c r="E17" s="303">
        <v>0.24</v>
      </c>
      <c r="F17" s="233" t="s">
        <v>78</v>
      </c>
      <c r="G17" s="233" t="s">
        <v>127</v>
      </c>
      <c r="H17" s="233" t="s">
        <v>96</v>
      </c>
      <c r="I17" s="304">
        <v>3.3500000000000002E-2</v>
      </c>
    </row>
    <row r="18" spans="1:10" ht="15.75">
      <c r="A18" s="160" t="s">
        <v>353</v>
      </c>
      <c r="B18" s="70" t="s">
        <v>354</v>
      </c>
      <c r="C18" s="2" t="s">
        <v>342</v>
      </c>
      <c r="D18" s="302">
        <v>1.05</v>
      </c>
      <c r="E18" s="303">
        <v>5.5E-2</v>
      </c>
      <c r="F18" s="233" t="s">
        <v>80</v>
      </c>
      <c r="G18" s="233" t="s">
        <v>220</v>
      </c>
      <c r="H18" s="233" t="s">
        <v>114</v>
      </c>
      <c r="I18" s="304">
        <v>3.3500000000000002E-2</v>
      </c>
    </row>
    <row r="19" spans="1:10" ht="15.75">
      <c r="A19" s="160" t="s">
        <v>355</v>
      </c>
      <c r="B19" s="70" t="s">
        <v>356</v>
      </c>
      <c r="C19" s="2" t="s">
        <v>342</v>
      </c>
      <c r="D19" s="302">
        <v>1.2</v>
      </c>
      <c r="E19" s="303">
        <v>0.23</v>
      </c>
      <c r="F19" s="233" t="s">
        <v>124</v>
      </c>
      <c r="G19" s="233" t="s">
        <v>127</v>
      </c>
      <c r="H19" s="233" t="s">
        <v>146</v>
      </c>
      <c r="I19" s="304">
        <v>3.3500000000000002E-2</v>
      </c>
    </row>
    <row r="20" spans="1:10" ht="16.5" thickBot="1">
      <c r="A20" s="24"/>
      <c r="B20" s="74"/>
      <c r="C20" s="306"/>
      <c r="D20" s="88"/>
      <c r="E20" s="307"/>
      <c r="F20" s="73"/>
      <c r="G20" s="76"/>
      <c r="H20" s="76"/>
      <c r="I20" s="76"/>
    </row>
    <row r="21" spans="1:10" ht="15.75" thickTop="1">
      <c r="C21" s="77" t="s">
        <v>54</v>
      </c>
      <c r="D21" s="234" t="s">
        <v>360</v>
      </c>
      <c r="E21" s="234" t="s">
        <v>361</v>
      </c>
      <c r="F21" s="3" t="s">
        <v>6</v>
      </c>
      <c r="G21" s="150" t="s">
        <v>6</v>
      </c>
      <c r="I21" s="234" t="s">
        <v>362</v>
      </c>
    </row>
    <row r="22" spans="1:10">
      <c r="C22" s="77" t="s">
        <v>58</v>
      </c>
      <c r="D22" s="185">
        <f>MEDIAN(D11:D19)</f>
        <v>1.2</v>
      </c>
      <c r="E22" s="109">
        <f>MEDIAN(E11:E19)</f>
        <v>5.5E-2</v>
      </c>
      <c r="G22" s="78" t="s">
        <v>127</v>
      </c>
      <c r="H22" s="3" t="s">
        <v>146</v>
      </c>
      <c r="I22" s="109">
        <f>MEDIAN(I11:I19)</f>
        <v>3.3500000000000002E-2</v>
      </c>
    </row>
    <row r="23" spans="1:10">
      <c r="C23" s="77" t="s">
        <v>29</v>
      </c>
      <c r="D23" s="186">
        <f>AVERAGE(D11:D19)</f>
        <v>1.2611111111111111</v>
      </c>
      <c r="E23" s="12">
        <f>AVERAGE(E11:E19)</f>
        <v>9.7333333333333327E-2</v>
      </c>
      <c r="G23" s="80" t="s">
        <v>6</v>
      </c>
      <c r="I23" s="12">
        <f>AVERAGE(I11:I19)</f>
        <v>4.0388888888888884E-2</v>
      </c>
    </row>
    <row r="24" spans="1:10">
      <c r="F24" s="77"/>
      <c r="G24" s="80"/>
      <c r="I24" s="186"/>
      <c r="J24" s="308"/>
    </row>
    <row r="25" spans="1:10" ht="21">
      <c r="H25" s="58" t="s">
        <v>82</v>
      </c>
      <c r="I25" s="105">
        <v>3.3500000000000002E-2</v>
      </c>
      <c r="J25" s="152" t="s">
        <v>6</v>
      </c>
    </row>
  </sheetData>
  <pageMargins left="0.25" right="0.25" top="0.75" bottom="0.75" header="0.3" footer="0.3"/>
  <pageSetup scale="58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10FF5-68E1-403E-B9D4-5B10BE031214}">
  <sheetPr codeName="Sheet64">
    <pageSetUpPr fitToPage="1"/>
  </sheetPr>
  <dimension ref="A1:H57"/>
  <sheetViews>
    <sheetView zoomScaleNormal="100" workbookViewId="0">
      <selection activeCell="H17" sqref="H17"/>
    </sheetView>
  </sheetViews>
  <sheetFormatPr defaultRowHeight="15"/>
  <cols>
    <col min="1" max="1" width="43.7109375" customWidth="1"/>
    <col min="2" max="2" width="12.85546875" customWidth="1"/>
    <col min="3" max="3" width="24.7109375" customWidth="1"/>
    <col min="4" max="4" width="17.28515625" customWidth="1"/>
    <col min="5" max="5" width="21.85546875" customWidth="1"/>
    <col min="6" max="7" width="18" customWidth="1"/>
    <col min="8" max="8" width="12.5703125" customWidth="1"/>
    <col min="9" max="9" width="11.5703125" customWidth="1"/>
  </cols>
  <sheetData>
    <row r="1" spans="1:7" ht="21">
      <c r="A1" s="23" t="s">
        <v>0</v>
      </c>
    </row>
    <row r="2" spans="1:7" ht="15.75">
      <c r="A2" s="24" t="s">
        <v>1</v>
      </c>
    </row>
    <row r="3" spans="1:7">
      <c r="A3" s="22" t="s">
        <v>2</v>
      </c>
    </row>
    <row r="4" spans="1:7">
      <c r="E4" s="4" t="s">
        <v>6</v>
      </c>
    </row>
    <row r="5" spans="1:7" ht="15.75">
      <c r="A5" s="66" t="s">
        <v>335</v>
      </c>
    </row>
    <row r="6" spans="1:7" ht="15.75">
      <c r="A6" s="66"/>
    </row>
    <row r="7" spans="1:7" ht="18.75">
      <c r="A7" s="66"/>
      <c r="E7" s="84" t="s">
        <v>83</v>
      </c>
    </row>
    <row r="8" spans="1:7" ht="18.75">
      <c r="A8" s="66"/>
      <c r="E8" s="84" t="s">
        <v>84</v>
      </c>
    </row>
    <row r="9" spans="1:7" ht="15.75">
      <c r="A9" s="66"/>
      <c r="E9" s="257" t="s">
        <v>6</v>
      </c>
    </row>
    <row r="10" spans="1:7" ht="15.75" thickBot="1">
      <c r="A10" s="67" t="s">
        <v>6</v>
      </c>
      <c r="B10" s="67" t="s">
        <v>6</v>
      </c>
      <c r="C10" s="67"/>
      <c r="D10" s="67" t="s">
        <v>6</v>
      </c>
      <c r="E10" s="67" t="s">
        <v>6</v>
      </c>
      <c r="F10" s="67" t="s">
        <v>6</v>
      </c>
      <c r="G10" s="67" t="s">
        <v>6</v>
      </c>
    </row>
    <row r="11" spans="1:7">
      <c r="A11" s="3" t="s">
        <v>6</v>
      </c>
      <c r="B11" s="3" t="s">
        <v>26</v>
      </c>
      <c r="C11" s="3"/>
      <c r="D11" s="3" t="s">
        <v>6</v>
      </c>
      <c r="E11" s="3" t="s">
        <v>85</v>
      </c>
      <c r="F11" s="3" t="s">
        <v>85</v>
      </c>
      <c r="G11" s="3" t="s">
        <v>86</v>
      </c>
    </row>
    <row r="12" spans="1:7" ht="15.75" thickBot="1">
      <c r="A12" s="7" t="s">
        <v>33</v>
      </c>
      <c r="B12" s="7" t="s">
        <v>34</v>
      </c>
      <c r="C12" s="7"/>
      <c r="D12" s="7" t="s">
        <v>87</v>
      </c>
      <c r="E12" s="7" t="s">
        <v>88</v>
      </c>
      <c r="F12" s="7" t="s">
        <v>89</v>
      </c>
      <c r="G12" s="7" t="s">
        <v>90</v>
      </c>
    </row>
    <row r="13" spans="1:7">
      <c r="A13" s="8" t="s">
        <v>6</v>
      </c>
      <c r="B13" s="8" t="s">
        <v>6</v>
      </c>
      <c r="C13" s="8"/>
      <c r="D13" s="8" t="s">
        <v>363</v>
      </c>
      <c r="E13" s="8" t="s">
        <v>147</v>
      </c>
      <c r="F13" s="8" t="s">
        <v>6</v>
      </c>
      <c r="G13" s="8" t="s">
        <v>6</v>
      </c>
    </row>
    <row r="14" spans="1:7">
      <c r="A14" s="3"/>
      <c r="B14" s="3"/>
      <c r="C14" s="3"/>
      <c r="D14" s="3"/>
      <c r="E14" s="3"/>
      <c r="F14" s="3"/>
      <c r="G14" s="3"/>
    </row>
    <row r="15" spans="1:7" ht="15.75">
      <c r="A15" s="160" t="s">
        <v>337</v>
      </c>
      <c r="B15" s="3" t="s">
        <v>338</v>
      </c>
      <c r="C15" s="2" t="s">
        <v>339</v>
      </c>
      <c r="D15" s="309">
        <f>'[8]S&amp;D'!G17</f>
        <v>27.48</v>
      </c>
      <c r="E15" s="310">
        <v>3.65</v>
      </c>
      <c r="F15" s="311">
        <f t="shared" ref="F15:F23" si="0">D15/E15</f>
        <v>7.5287671232876718</v>
      </c>
      <c r="G15" s="312">
        <f t="shared" ref="G15:G23" si="1">1/F15</f>
        <v>0.13282387190684133</v>
      </c>
    </row>
    <row r="16" spans="1:7" ht="15.75">
      <c r="A16" s="160" t="s">
        <v>340</v>
      </c>
      <c r="B16" s="3" t="s">
        <v>341</v>
      </c>
      <c r="C16" s="2" t="s">
        <v>342</v>
      </c>
      <c r="D16" s="309">
        <f>'[8]S&amp;D'!G18</f>
        <v>49.41</v>
      </c>
      <c r="E16" s="310">
        <v>4.4000000000000004</v>
      </c>
      <c r="F16" s="310">
        <f t="shared" si="0"/>
        <v>11.229545454545454</v>
      </c>
      <c r="G16" s="313">
        <f t="shared" si="1"/>
        <v>8.9050799433313108E-2</v>
      </c>
    </row>
    <row r="17" spans="1:8" ht="15.75">
      <c r="A17" s="160" t="s">
        <v>343</v>
      </c>
      <c r="B17" s="3" t="s">
        <v>344</v>
      </c>
      <c r="C17" s="2" t="s">
        <v>339</v>
      </c>
      <c r="D17" s="309">
        <f>'[8]S&amp;D'!G19</f>
        <v>8.23</v>
      </c>
      <c r="E17" s="310">
        <v>3.3</v>
      </c>
      <c r="F17" s="310">
        <f>D17/E17</f>
        <v>2.4939393939393941</v>
      </c>
      <c r="G17" s="313">
        <f>1/F17</f>
        <v>0.40097205346294046</v>
      </c>
      <c r="H17" s="314"/>
    </row>
    <row r="18" spans="1:8" ht="15.75">
      <c r="A18" s="160" t="s">
        <v>345</v>
      </c>
      <c r="B18" s="3" t="s">
        <v>346</v>
      </c>
      <c r="C18" s="2" t="s">
        <v>342</v>
      </c>
      <c r="D18" s="309">
        <f>'[8]S&amp;D'!G20</f>
        <v>6.89</v>
      </c>
      <c r="E18" s="310">
        <v>1.35</v>
      </c>
      <c r="F18" s="310">
        <f t="shared" ref="F18" si="2">D18/E18</f>
        <v>5.1037037037037027</v>
      </c>
      <c r="G18" s="313">
        <f t="shared" ref="G18" si="3">1/F18</f>
        <v>0.19593613933236578</v>
      </c>
    </row>
    <row r="19" spans="1:8" ht="15.75">
      <c r="A19" s="160" t="s">
        <v>347</v>
      </c>
      <c r="B19" s="70" t="s">
        <v>348</v>
      </c>
      <c r="C19" s="2" t="s">
        <v>339</v>
      </c>
      <c r="D19" s="309">
        <f>'[8]S&amp;D'!G21</f>
        <v>21.96</v>
      </c>
      <c r="E19" s="310">
        <v>3.1</v>
      </c>
      <c r="F19" s="310">
        <f t="shared" si="0"/>
        <v>7.0838709677419356</v>
      </c>
      <c r="G19" s="313">
        <f t="shared" si="1"/>
        <v>0.14116575591985428</v>
      </c>
    </row>
    <row r="20" spans="1:8" ht="15.75">
      <c r="A20" s="160" t="s">
        <v>349</v>
      </c>
      <c r="B20" s="70" t="s">
        <v>350</v>
      </c>
      <c r="C20" s="2" t="s">
        <v>342</v>
      </c>
      <c r="D20" s="309">
        <f>'[8]S&amp;D'!G22</f>
        <v>15.86</v>
      </c>
      <c r="E20" s="310">
        <v>1.73</v>
      </c>
      <c r="F20" s="310">
        <f t="shared" si="0"/>
        <v>9.1676300578034677</v>
      </c>
      <c r="G20" s="313">
        <f t="shared" si="1"/>
        <v>0.10907944514501892</v>
      </c>
    </row>
    <row r="21" spans="1:8" ht="15.75">
      <c r="A21" s="160" t="s">
        <v>351</v>
      </c>
      <c r="B21" s="70" t="s">
        <v>352</v>
      </c>
      <c r="C21" s="2" t="s">
        <v>342</v>
      </c>
      <c r="D21" s="309">
        <f>'[8]S&amp;D'!G23</f>
        <v>58.76</v>
      </c>
      <c r="E21" s="310">
        <v>4.8499999999999996</v>
      </c>
      <c r="F21" s="310">
        <f t="shared" si="0"/>
        <v>12.115463917525773</v>
      </c>
      <c r="G21" s="313">
        <f t="shared" si="1"/>
        <v>8.2539142273655552E-2</v>
      </c>
    </row>
    <row r="22" spans="1:8" ht="15.75">
      <c r="A22" s="160" t="s">
        <v>353</v>
      </c>
      <c r="B22" s="70" t="s">
        <v>354</v>
      </c>
      <c r="C22" s="2" t="s">
        <v>342</v>
      </c>
      <c r="D22" s="309">
        <f>'[8]S&amp;D'!G24</f>
        <v>46.54</v>
      </c>
      <c r="E22" s="310">
        <v>3.65</v>
      </c>
      <c r="F22" s="310">
        <f t="shared" si="0"/>
        <v>12.75068493150685</v>
      </c>
      <c r="G22" s="313">
        <f t="shared" si="1"/>
        <v>7.8427159432746016E-2</v>
      </c>
    </row>
    <row r="23" spans="1:8" ht="15.75">
      <c r="A23" s="160" t="s">
        <v>355</v>
      </c>
      <c r="B23" s="70" t="s">
        <v>356</v>
      </c>
      <c r="C23" s="2" t="s">
        <v>342</v>
      </c>
      <c r="D23" s="309">
        <f>'[8]S&amp;D'!G25</f>
        <v>26.04</v>
      </c>
      <c r="E23" s="310">
        <v>3</v>
      </c>
      <c r="F23" s="311">
        <f t="shared" si="0"/>
        <v>8.68</v>
      </c>
      <c r="G23" s="312">
        <f t="shared" si="1"/>
        <v>0.1152073732718894</v>
      </c>
    </row>
    <row r="24" spans="1:8" ht="15.75" thickBot="1">
      <c r="B24" s="76"/>
      <c r="C24" s="76"/>
      <c r="D24" s="73"/>
      <c r="E24" s="76"/>
      <c r="F24" s="73"/>
      <c r="G24" s="73"/>
    </row>
    <row r="25" spans="1:8" ht="15.75" thickTop="1">
      <c r="B25" s="77" t="s">
        <v>54</v>
      </c>
      <c r="C25" s="77"/>
      <c r="D25" s="315" t="s">
        <v>364</v>
      </c>
      <c r="E25" s="315" t="s">
        <v>365</v>
      </c>
      <c r="F25" s="315" t="s">
        <v>366</v>
      </c>
      <c r="G25" s="315" t="s">
        <v>367</v>
      </c>
    </row>
    <row r="26" spans="1:8">
      <c r="B26" s="77" t="s">
        <v>58</v>
      </c>
      <c r="C26" s="77"/>
      <c r="D26" s="316">
        <f>MEDIAN(D15:D23)</f>
        <v>26.04</v>
      </c>
      <c r="E26" s="232">
        <f>MEDIAN(E15:E23)</f>
        <v>3.3</v>
      </c>
      <c r="F26" s="232">
        <f>MEDIAN(F15:F23)</f>
        <v>8.68</v>
      </c>
      <c r="G26" s="317">
        <f>MEDIAN(G15:G23)</f>
        <v>0.1152073732718894</v>
      </c>
    </row>
    <row r="27" spans="1:8">
      <c r="B27" s="77" t="s">
        <v>29</v>
      </c>
      <c r="C27" s="77"/>
      <c r="D27" s="316">
        <f>AVERAGE(D15:D23)</f>
        <v>29.018888888888885</v>
      </c>
      <c r="E27" s="318">
        <f>AVERAGE(E15:E23)</f>
        <v>3.2255555555555557</v>
      </c>
      <c r="F27" s="318">
        <f>AVERAGE(F15:F23)</f>
        <v>8.4615117277838046</v>
      </c>
      <c r="G27" s="317">
        <f>AVERAGE(G15:G23)</f>
        <v>0.14946686001984721</v>
      </c>
    </row>
    <row r="29" spans="1:8" ht="22.5" customHeight="1">
      <c r="A29" s="319"/>
      <c r="B29" s="320"/>
      <c r="C29" s="320"/>
      <c r="D29" s="321"/>
      <c r="E29" s="68"/>
      <c r="F29" s="322" t="s">
        <v>20</v>
      </c>
      <c r="G29" s="323">
        <v>0.1152</v>
      </c>
      <c r="H29" s="151"/>
    </row>
    <row r="30" spans="1:8" ht="22.5" customHeight="1">
      <c r="A30" s="319" t="s">
        <v>6</v>
      </c>
      <c r="B30" s="320" t="s">
        <v>6</v>
      </c>
      <c r="C30" s="320"/>
    </row>
    <row r="31" spans="1:8" ht="23.25">
      <c r="A31" s="324" t="s">
        <v>6</v>
      </c>
      <c r="B31" s="320"/>
      <c r="C31" s="320"/>
      <c r="D31" s="321"/>
      <c r="E31" s="68"/>
      <c r="F31" s="322"/>
      <c r="G31" s="83"/>
      <c r="H31" s="151"/>
    </row>
    <row r="32" spans="1:8" ht="23.25">
      <c r="A32" s="259" t="s">
        <v>272</v>
      </c>
      <c r="B32" s="320"/>
      <c r="C32" s="320"/>
      <c r="D32" s="321"/>
      <c r="E32" s="68"/>
      <c r="F32" s="322"/>
      <c r="G32" s="83"/>
      <c r="H32" s="151"/>
    </row>
    <row r="33" spans="1:8" ht="17.25" customHeight="1">
      <c r="A33" s="325"/>
      <c r="B33" s="320"/>
      <c r="C33" s="320"/>
      <c r="D33" s="321"/>
      <c r="E33" s="68"/>
      <c r="F33" s="322"/>
      <c r="G33" s="83"/>
      <c r="H33" s="151"/>
    </row>
    <row r="34" spans="1:8" ht="17.25" customHeight="1">
      <c r="A34" s="261" t="s">
        <v>368</v>
      </c>
      <c r="B34" s="320"/>
      <c r="C34" s="320"/>
      <c r="D34" s="321"/>
      <c r="E34" s="68"/>
      <c r="F34" s="322"/>
      <c r="G34" s="83"/>
      <c r="H34" s="151"/>
    </row>
    <row r="35" spans="1:8" ht="17.25" customHeight="1">
      <c r="B35" s="320"/>
      <c r="C35" s="320"/>
      <c r="D35" s="321"/>
      <c r="E35" s="68"/>
      <c r="F35" s="322"/>
      <c r="G35" s="83"/>
      <c r="H35" s="151"/>
    </row>
    <row r="36" spans="1:8" ht="17.25" customHeight="1">
      <c r="A36" s="261"/>
      <c r="B36" s="320"/>
      <c r="C36" s="320"/>
      <c r="D36" s="321"/>
      <c r="E36" s="68"/>
      <c r="F36" s="322"/>
      <c r="G36" s="83"/>
      <c r="H36" s="151"/>
    </row>
    <row r="37" spans="1:8" ht="17.25" customHeight="1">
      <c r="A37" s="324"/>
      <c r="B37" s="320"/>
      <c r="C37" s="320"/>
      <c r="D37" s="321"/>
      <c r="E37" s="68"/>
      <c r="F37" s="322"/>
      <c r="G37" s="83"/>
      <c r="H37" s="151"/>
    </row>
    <row r="38" spans="1:8" ht="23.25" hidden="1">
      <c r="A38" s="326" t="s">
        <v>264</v>
      </c>
      <c r="B38" s="320"/>
      <c r="C38" s="320"/>
      <c r="D38" s="321"/>
      <c r="E38" s="68"/>
      <c r="F38" s="322"/>
      <c r="G38" s="83"/>
      <c r="H38" s="151"/>
    </row>
    <row r="39" spans="1:8" ht="15" hidden="1" customHeight="1">
      <c r="A39" s="189"/>
      <c r="B39" s="320"/>
      <c r="C39" s="320"/>
      <c r="D39" s="321"/>
      <c r="E39" s="68"/>
      <c r="F39" s="322"/>
      <c r="G39" s="83"/>
      <c r="H39" s="151"/>
    </row>
    <row r="40" spans="1:8" ht="15" hidden="1" customHeight="1">
      <c r="A40" s="258" t="s">
        <v>369</v>
      </c>
      <c r="B40" s="320"/>
      <c r="C40" s="320"/>
      <c r="D40" s="321"/>
      <c r="E40" s="68"/>
      <c r="F40" s="322"/>
      <c r="G40" s="83"/>
      <c r="H40" s="151"/>
    </row>
    <row r="41" spans="1:8" ht="15" hidden="1" customHeight="1">
      <c r="A41" s="258" t="s">
        <v>370</v>
      </c>
      <c r="B41" s="320"/>
      <c r="C41" s="320"/>
      <c r="D41" s="321"/>
      <c r="E41" s="68"/>
      <c r="F41" s="322"/>
      <c r="G41" s="83"/>
      <c r="H41" s="151"/>
    </row>
    <row r="42" spans="1:8" ht="15" hidden="1" customHeight="1">
      <c r="A42" s="258" t="s">
        <v>371</v>
      </c>
      <c r="B42" s="320"/>
      <c r="C42" s="320"/>
      <c r="D42" s="321"/>
      <c r="E42" s="68"/>
      <c r="F42" s="322"/>
      <c r="G42" s="83"/>
      <c r="H42" s="151"/>
    </row>
    <row r="43" spans="1:8" ht="15" hidden="1" customHeight="1">
      <c r="A43" s="258" t="s">
        <v>372</v>
      </c>
      <c r="B43" s="320"/>
      <c r="C43" s="320"/>
      <c r="D43" s="321"/>
      <c r="E43" s="68"/>
      <c r="F43" s="322"/>
      <c r="G43" s="83"/>
      <c r="H43" s="151"/>
    </row>
    <row r="44" spans="1:8" ht="15" hidden="1" customHeight="1">
      <c r="A44" s="258" t="s">
        <v>373</v>
      </c>
      <c r="B44" s="320"/>
      <c r="C44" s="320"/>
      <c r="D44" s="321"/>
      <c r="E44" s="68"/>
      <c r="F44" s="322"/>
      <c r="G44" s="83"/>
      <c r="H44" s="151"/>
    </row>
    <row r="45" spans="1:8" ht="15" hidden="1" customHeight="1">
      <c r="A45" s="258" t="s">
        <v>374</v>
      </c>
      <c r="B45" s="320"/>
      <c r="C45" s="320"/>
      <c r="D45" s="321"/>
      <c r="E45" s="68"/>
      <c r="F45" s="322"/>
      <c r="G45" s="83"/>
      <c r="H45" s="151"/>
    </row>
    <row r="46" spans="1:8" ht="15" hidden="1" customHeight="1">
      <c r="A46" s="258" t="s">
        <v>375</v>
      </c>
      <c r="B46" s="320"/>
      <c r="C46" s="320"/>
      <c r="D46" s="321"/>
      <c r="E46" s="68"/>
      <c r="F46" s="322"/>
      <c r="G46" s="83"/>
      <c r="H46" s="151"/>
    </row>
    <row r="47" spans="1:8" ht="15" hidden="1" customHeight="1">
      <c r="A47" s="258" t="s">
        <v>376</v>
      </c>
      <c r="B47" s="320"/>
      <c r="C47" s="320"/>
      <c r="D47" s="321"/>
      <c r="E47" s="68"/>
      <c r="F47" s="322"/>
      <c r="G47" s="83"/>
      <c r="H47" s="151"/>
    </row>
    <row r="48" spans="1:8" ht="15" hidden="1" customHeight="1">
      <c r="A48" s="258" t="s">
        <v>377</v>
      </c>
      <c r="B48" s="320"/>
      <c r="C48" s="320"/>
      <c r="D48" s="321"/>
      <c r="E48" s="68"/>
      <c r="F48" s="322"/>
      <c r="G48" s="83"/>
      <c r="H48" s="151"/>
    </row>
    <row r="49" spans="1:8" ht="15" hidden="1" customHeight="1">
      <c r="A49" s="258" t="s">
        <v>378</v>
      </c>
      <c r="B49" s="320"/>
      <c r="C49" s="320"/>
      <c r="D49" s="321"/>
      <c r="E49" s="68"/>
      <c r="F49" s="322"/>
      <c r="G49" s="83"/>
      <c r="H49" s="151"/>
    </row>
    <row r="50" spans="1:8" ht="15" hidden="1" customHeight="1">
      <c r="A50" s="258" t="s">
        <v>379</v>
      </c>
    </row>
    <row r="51" spans="1:8" hidden="1">
      <c r="A51" s="258" t="s">
        <v>380</v>
      </c>
    </row>
    <row r="52" spans="1:8">
      <c r="A52" s="258"/>
    </row>
    <row r="53" spans="1:8">
      <c r="B53" s="260"/>
      <c r="C53" s="260"/>
      <c r="D53" s="260"/>
      <c r="E53" s="260"/>
    </row>
    <row r="54" spans="1:8">
      <c r="B54" s="260"/>
      <c r="C54" s="260"/>
      <c r="D54" s="260"/>
      <c r="E54" s="260"/>
    </row>
    <row r="55" spans="1:8">
      <c r="B55" s="260"/>
      <c r="C55" s="260"/>
      <c r="D55" s="260"/>
      <c r="E55" s="260"/>
    </row>
    <row r="56" spans="1:8">
      <c r="B56" s="260"/>
      <c r="C56" s="260"/>
      <c r="D56" s="260"/>
      <c r="E56" s="260"/>
    </row>
    <row r="57" spans="1:8">
      <c r="A57" s="261" t="s">
        <v>6</v>
      </c>
      <c r="B57" s="260"/>
      <c r="C57" s="260"/>
      <c r="D57" s="260"/>
      <c r="E57" s="260"/>
    </row>
  </sheetData>
  <pageMargins left="0.25" right="0.25" top="0.75" bottom="0.75" header="0.3" footer="0.3"/>
  <pageSetup scale="61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F497-544F-44B0-B59C-DC59AAEB479D}">
  <sheetPr codeName="Sheet67">
    <pageSetUpPr fitToPage="1"/>
  </sheetPr>
  <dimension ref="A1:F25"/>
  <sheetViews>
    <sheetView topLeftCell="A6" zoomScaleNormal="100" workbookViewId="0">
      <selection activeCell="L12" sqref="L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5.140625" customWidth="1"/>
    <col min="5" max="5" width="20.85546875" bestFit="1" customWidth="1"/>
    <col min="6" max="6" width="19.42578125" customWidth="1"/>
  </cols>
  <sheetData>
    <row r="1" spans="1:6" ht="21">
      <c r="C1" s="1" t="s">
        <v>0</v>
      </c>
    </row>
    <row r="2" spans="1:6" ht="15.75">
      <c r="C2" s="2" t="s">
        <v>1</v>
      </c>
    </row>
    <row r="3" spans="1:6">
      <c r="A3" s="190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381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</row>
    <row r="17" spans="1:6">
      <c r="A17" s="3"/>
      <c r="B17" s="3"/>
      <c r="C17" s="3"/>
      <c r="D17" s="3"/>
      <c r="E17" s="3"/>
      <c r="F17" s="3"/>
    </row>
    <row r="18" spans="1:6" ht="15.75">
      <c r="A18" s="2" t="s">
        <v>17</v>
      </c>
      <c r="B18" s="9">
        <f>+'[9]S&amp;D'!H44</f>
        <v>0.55000000000000004</v>
      </c>
      <c r="C18" s="9">
        <f>+'[9]CF Multiples'!G29</f>
        <v>0.14119999999999999</v>
      </c>
      <c r="D18" s="2" t="s">
        <v>177</v>
      </c>
      <c r="E18" s="10">
        <f>+C18</f>
        <v>0.14119999999999999</v>
      </c>
      <c r="F18" s="11">
        <f>+E18*B18</f>
        <v>7.7660000000000007E-2</v>
      </c>
    </row>
    <row r="19" spans="1:6" ht="15.75">
      <c r="A19" s="2" t="s">
        <v>6</v>
      </c>
      <c r="B19" s="13" t="s">
        <v>6</v>
      </c>
      <c r="C19" s="13" t="s">
        <v>6</v>
      </c>
      <c r="D19" s="2" t="s">
        <v>6</v>
      </c>
      <c r="E19" s="14" t="s">
        <v>6</v>
      </c>
      <c r="F19" s="15" t="s">
        <v>6</v>
      </c>
    </row>
    <row r="20" spans="1:6" ht="15.75">
      <c r="A20" s="2" t="s">
        <v>18</v>
      </c>
      <c r="B20" s="9">
        <f>+'[9]S&amp;D'!I44</f>
        <v>0.45</v>
      </c>
      <c r="C20" s="9">
        <f>+[9]Debt!I25</f>
        <v>3.3500000000000002E-2</v>
      </c>
      <c r="D20" s="9">
        <v>0.26</v>
      </c>
      <c r="E20" s="10">
        <f>+C20*(1-D20)</f>
        <v>2.479E-2</v>
      </c>
      <c r="F20" s="11">
        <f>+B20*E20</f>
        <v>1.11555E-2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</row>
    <row r="22" spans="1:6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8.8815500000000006E-2</v>
      </c>
    </row>
    <row r="23" spans="1:6" ht="15.75">
      <c r="A23" s="24"/>
      <c r="B23" s="24"/>
      <c r="C23" s="24"/>
      <c r="D23" s="24"/>
      <c r="E23" s="24"/>
      <c r="F23" s="24"/>
    </row>
    <row r="24" spans="1:6" ht="15.75">
      <c r="E24" s="14" t="s">
        <v>20</v>
      </c>
      <c r="F24" s="11">
        <v>8.8800000000000004E-2</v>
      </c>
    </row>
    <row r="25" spans="1:6">
      <c r="F25" t="s">
        <v>6</v>
      </c>
    </row>
  </sheetData>
  <pageMargins left="0.25" right="0.25" top="0.75" bottom="0.75" header="0.3" footer="0.3"/>
  <pageSetup scale="83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26494-AFBC-4738-A19A-1BE4254AAC74}">
  <sheetPr codeName="Sheet68">
    <pageSetUpPr fitToPage="1"/>
  </sheetPr>
  <dimension ref="A1:L58"/>
  <sheetViews>
    <sheetView zoomScale="82" zoomScaleNormal="82" zoomScalePageLayoutView="70" workbookViewId="0">
      <pane xSplit="1" topLeftCell="C1" activePane="topRight" state="frozen"/>
      <selection activeCell="L12" sqref="L12"/>
      <selection pane="topRight" activeCell="I15" sqref="I15:I24"/>
    </sheetView>
  </sheetViews>
  <sheetFormatPr defaultRowHeight="15"/>
  <cols>
    <col min="1" max="1" width="54.5703125" customWidth="1"/>
    <col min="2" max="2" width="10.85546875" bestFit="1" customWidth="1"/>
    <col min="3" max="3" width="24.140625" customWidth="1"/>
    <col min="4" max="4" width="20.140625" customWidth="1"/>
    <col min="5" max="5" width="18" customWidth="1"/>
    <col min="6" max="6" width="20.5703125" customWidth="1"/>
    <col min="7" max="7" width="22.5703125" customWidth="1"/>
    <col min="8" max="8" width="26.5703125" customWidth="1"/>
    <col min="9" max="9" width="24.28515625" customWidth="1"/>
    <col min="10" max="10" width="22.28515625" customWidth="1"/>
    <col min="11" max="11" width="28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1" ht="21">
      <c r="A1" s="291" t="s">
        <v>0</v>
      </c>
    </row>
    <row r="2" spans="1:11" ht="15.75">
      <c r="A2" s="24" t="s">
        <v>1</v>
      </c>
      <c r="H2" t="s">
        <v>225</v>
      </c>
    </row>
    <row r="3" spans="1:11">
      <c r="A3" s="190" t="s">
        <v>2</v>
      </c>
      <c r="H3" t="s">
        <v>6</v>
      </c>
    </row>
    <row r="4" spans="1:11">
      <c r="E4" s="4"/>
      <c r="H4" t="s">
        <v>6</v>
      </c>
      <c r="K4" t="s">
        <v>6</v>
      </c>
    </row>
    <row r="5" spans="1:11">
      <c r="A5" s="25" t="s">
        <v>21</v>
      </c>
      <c r="E5" s="4"/>
    </row>
    <row r="6" spans="1:11">
      <c r="H6" t="s">
        <v>6</v>
      </c>
    </row>
    <row r="7" spans="1:11" ht="15.75" thickBot="1">
      <c r="A7" s="28"/>
      <c r="B7" s="28"/>
      <c r="C7" s="28"/>
      <c r="D7" s="28"/>
      <c r="E7" s="28"/>
      <c r="F7" s="28"/>
      <c r="G7" s="28"/>
      <c r="H7" s="22" t="s">
        <v>6</v>
      </c>
      <c r="I7" s="28"/>
      <c r="J7" s="28"/>
      <c r="K7" s="28"/>
    </row>
    <row r="8" spans="1:11" ht="20.25">
      <c r="A8" s="30" t="s">
        <v>382</v>
      </c>
      <c r="B8" s="28"/>
      <c r="C8" s="28"/>
      <c r="D8" s="28"/>
      <c r="E8" s="28"/>
      <c r="F8" s="28"/>
      <c r="G8" s="28"/>
      <c r="H8" s="327" t="s">
        <v>6</v>
      </c>
      <c r="I8" s="28" t="s">
        <v>6</v>
      </c>
      <c r="J8" s="28"/>
      <c r="K8" s="28"/>
    </row>
    <row r="9" spans="1:11" ht="15.75" thickBot="1">
      <c r="A9" s="328" t="s">
        <v>6</v>
      </c>
      <c r="B9" s="34" t="s">
        <v>6</v>
      </c>
      <c r="C9" s="34" t="s">
        <v>6</v>
      </c>
      <c r="D9" s="34"/>
      <c r="E9" s="34"/>
      <c r="F9" s="34"/>
      <c r="G9" s="34" t="s">
        <v>6</v>
      </c>
      <c r="H9" s="28"/>
      <c r="I9" s="28"/>
      <c r="J9" s="28"/>
    </row>
    <row r="10" spans="1:11" s="220" customFormat="1" ht="15.75">
      <c r="A10" s="329"/>
      <c r="B10" s="330"/>
      <c r="C10" s="330"/>
      <c r="D10" s="330"/>
      <c r="E10" s="267"/>
      <c r="F10" s="330"/>
      <c r="G10" s="267"/>
      <c r="H10" s="112" t="s">
        <v>23</v>
      </c>
      <c r="I10" s="268"/>
      <c r="J10" s="268"/>
    </row>
    <row r="11" spans="1:11" ht="15.75">
      <c r="A11" s="114"/>
      <c r="B11" s="36"/>
      <c r="C11" s="36"/>
      <c r="D11" s="37" t="s">
        <v>24</v>
      </c>
      <c r="E11" s="194" t="s">
        <v>24</v>
      </c>
      <c r="F11" s="37" t="s">
        <v>24</v>
      </c>
      <c r="G11" s="193"/>
      <c r="H11" s="35" t="s">
        <v>25</v>
      </c>
      <c r="I11" s="195" t="s">
        <v>23</v>
      </c>
      <c r="J11" s="195" t="s">
        <v>23</v>
      </c>
    </row>
    <row r="12" spans="1:11" ht="15.75">
      <c r="A12" s="114" t="s">
        <v>6</v>
      </c>
      <c r="B12" s="36" t="s">
        <v>26</v>
      </c>
      <c r="C12" s="36" t="s">
        <v>27</v>
      </c>
      <c r="D12" s="37" t="s">
        <v>28</v>
      </c>
      <c r="E12" s="194" t="s">
        <v>28</v>
      </c>
      <c r="F12" s="37" t="s">
        <v>29</v>
      </c>
      <c r="G12" s="195" t="s">
        <v>23</v>
      </c>
      <c r="H12" s="36" t="s">
        <v>30</v>
      </c>
      <c r="I12" s="193" t="s">
        <v>31</v>
      </c>
      <c r="J12" s="197" t="s">
        <v>47</v>
      </c>
    </row>
    <row r="13" spans="1:11" ht="16.5" thickBot="1">
      <c r="A13" s="116" t="s">
        <v>33</v>
      </c>
      <c r="B13" s="39" t="s">
        <v>34</v>
      </c>
      <c r="C13" s="39" t="s">
        <v>35</v>
      </c>
      <c r="D13" s="39" t="s">
        <v>36</v>
      </c>
      <c r="E13" s="200" t="s">
        <v>37</v>
      </c>
      <c r="F13" s="39" t="s">
        <v>28</v>
      </c>
      <c r="G13" s="200" t="s">
        <v>28</v>
      </c>
      <c r="H13" s="40" t="s">
        <v>149</v>
      </c>
      <c r="I13" s="201" t="s">
        <v>155</v>
      </c>
      <c r="J13" s="201" t="s">
        <v>155</v>
      </c>
    </row>
    <row r="14" spans="1:11" ht="15.75">
      <c r="A14" s="118" t="s">
        <v>40</v>
      </c>
      <c r="B14" s="41" t="s">
        <v>40</v>
      </c>
      <c r="C14" s="41" t="s">
        <v>40</v>
      </c>
      <c r="D14" s="41" t="s">
        <v>40</v>
      </c>
      <c r="E14" s="202" t="s">
        <v>40</v>
      </c>
      <c r="F14" s="41" t="s">
        <v>40</v>
      </c>
      <c r="G14" s="202" t="s">
        <v>40</v>
      </c>
      <c r="H14" s="41" t="s">
        <v>42</v>
      </c>
      <c r="I14" s="202" t="s">
        <v>42</v>
      </c>
      <c r="J14" s="202" t="s">
        <v>42</v>
      </c>
    </row>
    <row r="15" spans="1:11" ht="15.75">
      <c r="A15" s="209" t="s">
        <v>337</v>
      </c>
      <c r="B15" s="3" t="s">
        <v>338</v>
      </c>
      <c r="C15" s="2" t="s">
        <v>339</v>
      </c>
      <c r="D15" s="43">
        <v>27.52</v>
      </c>
      <c r="E15" s="207">
        <v>26.03</v>
      </c>
      <c r="F15" s="43">
        <f t="shared" ref="F15:F23" si="0">AVERAGE(D15,E15)</f>
        <v>26.774999999999999</v>
      </c>
      <c r="G15" s="207">
        <v>27.48</v>
      </c>
      <c r="H15" s="45">
        <v>208373672</v>
      </c>
      <c r="I15" s="208">
        <v>751000000</v>
      </c>
      <c r="J15" s="294">
        <f>(355+5078)*1000000</f>
        <v>5433000000</v>
      </c>
    </row>
    <row r="16" spans="1:11" ht="15.75">
      <c r="A16" s="209" t="s">
        <v>343</v>
      </c>
      <c r="B16" s="3" t="s">
        <v>344</v>
      </c>
      <c r="C16" s="2" t="s">
        <v>339</v>
      </c>
      <c r="D16" s="43">
        <v>8.23</v>
      </c>
      <c r="E16" s="207">
        <v>8.11</v>
      </c>
      <c r="F16" s="43">
        <f t="shared" si="0"/>
        <v>8.17</v>
      </c>
      <c r="G16" s="207">
        <v>8.23</v>
      </c>
      <c r="H16" s="45">
        <v>3082517494</v>
      </c>
      <c r="I16" s="208">
        <v>6051000000</v>
      </c>
      <c r="J16" s="208">
        <f>(680+49022)*1000000</f>
        <v>49702000000</v>
      </c>
    </row>
    <row r="17" spans="1:12" ht="17.25" customHeight="1">
      <c r="A17" s="209" t="s">
        <v>383</v>
      </c>
      <c r="B17" s="70" t="s">
        <v>348</v>
      </c>
      <c r="C17" s="13" t="s">
        <v>339</v>
      </c>
      <c r="D17" s="43">
        <v>22.05</v>
      </c>
      <c r="E17" s="207">
        <v>21.61</v>
      </c>
      <c r="F17" s="43">
        <f t="shared" si="0"/>
        <v>21.83</v>
      </c>
      <c r="G17" s="207">
        <v>21.96</v>
      </c>
      <c r="H17" s="44">
        <v>2176379587</v>
      </c>
      <c r="I17" s="208">
        <v>0</v>
      </c>
      <c r="J17" s="295">
        <f>(625.9+28135.3)*1000000</f>
        <v>28761200000</v>
      </c>
    </row>
    <row r="18" spans="1:12" ht="15.75">
      <c r="A18" s="209" t="s">
        <v>384</v>
      </c>
      <c r="B18" s="70" t="s">
        <v>385</v>
      </c>
      <c r="C18" s="13" t="s">
        <v>339</v>
      </c>
      <c r="D18" s="43">
        <v>16.52</v>
      </c>
      <c r="E18" s="207">
        <v>16.149999999999999</v>
      </c>
      <c r="F18" s="43">
        <f t="shared" si="0"/>
        <v>16.335000000000001</v>
      </c>
      <c r="G18" s="207">
        <v>16.489999999999998</v>
      </c>
      <c r="H18" s="44">
        <v>105440201</v>
      </c>
      <c r="I18" s="208">
        <f>56549000</f>
        <v>56549000</v>
      </c>
      <c r="J18" s="331">
        <v>1333049000</v>
      </c>
    </row>
    <row r="19" spans="1:12" ht="15.75">
      <c r="A19" s="204" t="s">
        <v>386</v>
      </c>
      <c r="B19" s="3" t="s">
        <v>387</v>
      </c>
      <c r="C19" s="13" t="s">
        <v>339</v>
      </c>
      <c r="D19" s="43">
        <v>46.45</v>
      </c>
      <c r="E19" s="207">
        <v>45.06</v>
      </c>
      <c r="F19" s="43">
        <f t="shared" si="0"/>
        <v>45.755000000000003</v>
      </c>
      <c r="G19" s="207">
        <v>46.44</v>
      </c>
      <c r="H19" s="44">
        <v>212400000</v>
      </c>
      <c r="I19" s="208">
        <v>0</v>
      </c>
      <c r="J19" s="332">
        <v>5088800000</v>
      </c>
    </row>
    <row r="20" spans="1:12" ht="15.75">
      <c r="A20" s="209" t="s">
        <v>388</v>
      </c>
      <c r="B20" s="3" t="s">
        <v>389</v>
      </c>
      <c r="C20" s="13" t="s">
        <v>339</v>
      </c>
      <c r="D20" s="43">
        <v>29.67</v>
      </c>
      <c r="E20" s="207">
        <v>29.05</v>
      </c>
      <c r="F20" s="43">
        <f t="shared" si="0"/>
        <v>29.36</v>
      </c>
      <c r="G20" s="207">
        <v>29.59</v>
      </c>
      <c r="H20" s="45">
        <f>1016178378</f>
        <v>1016178378</v>
      </c>
      <c r="I20" s="208">
        <v>611000000</v>
      </c>
      <c r="J20" s="208">
        <v>18072000000</v>
      </c>
    </row>
    <row r="21" spans="1:12" ht="15.75">
      <c r="A21" s="209" t="s">
        <v>390</v>
      </c>
      <c r="B21" s="3" t="s">
        <v>391</v>
      </c>
      <c r="C21" s="13" t="s">
        <v>339</v>
      </c>
      <c r="D21" s="43">
        <v>15.88</v>
      </c>
      <c r="E21" s="207">
        <v>15.05</v>
      </c>
      <c r="F21" s="43">
        <f t="shared" si="0"/>
        <v>15.465</v>
      </c>
      <c r="G21" s="207">
        <v>15.88</v>
      </c>
      <c r="H21" s="45">
        <v>109986273</v>
      </c>
      <c r="I21" s="208">
        <f>218307000+371476000+166518000</f>
        <v>756301000</v>
      </c>
      <c r="J21" s="208">
        <f>(3848+3183555)*1000</f>
        <v>3187403000</v>
      </c>
    </row>
    <row r="22" spans="1:12" ht="15.75">
      <c r="A22" s="204" t="s">
        <v>392</v>
      </c>
      <c r="B22" s="3" t="s">
        <v>393</v>
      </c>
      <c r="C22" s="13" t="s">
        <v>339</v>
      </c>
      <c r="D22" s="43">
        <v>36.5</v>
      </c>
      <c r="E22" s="207">
        <v>35.909999999999997</v>
      </c>
      <c r="F22" s="43">
        <f t="shared" si="0"/>
        <v>36.204999999999998</v>
      </c>
      <c r="G22" s="207">
        <v>36.07</v>
      </c>
      <c r="H22" s="122">
        <f>58580009+169760137</f>
        <v>228340146</v>
      </c>
      <c r="I22" s="208">
        <v>729000000</v>
      </c>
      <c r="J22" s="208">
        <f>(3447)*1000000</f>
        <v>3447000000</v>
      </c>
    </row>
    <row r="23" spans="1:12" s="5" customFormat="1" ht="16.5" thickBot="1">
      <c r="A23" s="333" t="s">
        <v>394</v>
      </c>
      <c r="B23" s="7" t="s">
        <v>395</v>
      </c>
      <c r="C23" s="213" t="s">
        <v>339</v>
      </c>
      <c r="D23" s="245">
        <v>9.3699999999999992</v>
      </c>
      <c r="E23" s="215">
        <v>9.19</v>
      </c>
      <c r="F23" s="245">
        <f t="shared" si="0"/>
        <v>9.2799999999999994</v>
      </c>
      <c r="G23" s="215">
        <v>9.34</v>
      </c>
      <c r="H23" s="52">
        <v>704991540</v>
      </c>
      <c r="I23" s="216">
        <v>2292000000</v>
      </c>
      <c r="J23" s="216">
        <f>8329000000+69000000</f>
        <v>8398000000</v>
      </c>
    </row>
    <row r="24" spans="1:12" ht="15.7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2" ht="15.75">
      <c r="A25" s="136" t="s">
        <v>6</v>
      </c>
      <c r="B25" s="47"/>
      <c r="C25" s="47"/>
      <c r="D25" s="47"/>
      <c r="E25" s="47"/>
      <c r="F25" s="47"/>
      <c r="G25" s="47"/>
      <c r="H25" s="47"/>
      <c r="I25" s="47"/>
      <c r="J25" t="s">
        <v>6</v>
      </c>
      <c r="K25" s="47" t="s">
        <v>6</v>
      </c>
      <c r="L25" s="47"/>
    </row>
    <row r="26" spans="1:12" ht="15.75">
      <c r="A26" s="36"/>
      <c r="B26" s="36"/>
      <c r="C26" s="36"/>
      <c r="D26" s="35" t="s">
        <v>23</v>
      </c>
      <c r="E26" s="35" t="s">
        <v>23</v>
      </c>
      <c r="F26" s="35" t="s">
        <v>23</v>
      </c>
      <c r="G26" s="35" t="s">
        <v>23</v>
      </c>
      <c r="H26" s="35" t="s">
        <v>23</v>
      </c>
      <c r="I26" s="35" t="s">
        <v>23</v>
      </c>
      <c r="K26" t="s">
        <v>6</v>
      </c>
      <c r="L26" s="47"/>
    </row>
    <row r="27" spans="1:12" ht="15.75">
      <c r="A27" s="36" t="s">
        <v>6</v>
      </c>
      <c r="B27" s="36" t="s">
        <v>26</v>
      </c>
      <c r="C27" s="36" t="s">
        <v>27</v>
      </c>
      <c r="D27" s="36" t="s">
        <v>25</v>
      </c>
      <c r="E27" s="36" t="s">
        <v>31</v>
      </c>
      <c r="F27" s="38" t="s">
        <v>213</v>
      </c>
      <c r="G27" s="38" t="s">
        <v>48</v>
      </c>
      <c r="H27" s="38" t="s">
        <v>49</v>
      </c>
      <c r="I27" s="38" t="s">
        <v>140</v>
      </c>
      <c r="K27" t="s">
        <v>6</v>
      </c>
      <c r="L27" s="47"/>
    </row>
    <row r="28" spans="1:12" ht="16.5" thickBot="1">
      <c r="A28" s="39" t="s">
        <v>33</v>
      </c>
      <c r="B28" s="39" t="s">
        <v>34</v>
      </c>
      <c r="C28" s="39" t="s">
        <v>35</v>
      </c>
      <c r="D28" s="39" t="s">
        <v>51</v>
      </c>
      <c r="E28" s="39" t="s">
        <v>51</v>
      </c>
      <c r="F28" s="39" t="s">
        <v>51</v>
      </c>
      <c r="G28" s="39" t="s">
        <v>52</v>
      </c>
      <c r="H28" s="39" t="s">
        <v>6</v>
      </c>
      <c r="I28" s="39" t="s">
        <v>6</v>
      </c>
      <c r="L28" s="47"/>
    </row>
    <row r="29" spans="1:12" ht="15.75">
      <c r="A29" s="41" t="s">
        <v>40</v>
      </c>
      <c r="B29" s="41" t="s">
        <v>40</v>
      </c>
      <c r="C29" s="41" t="s">
        <v>40</v>
      </c>
      <c r="D29" s="41" t="s">
        <v>53</v>
      </c>
      <c r="E29" s="41" t="s">
        <v>42</v>
      </c>
      <c r="F29" s="41" t="s">
        <v>42</v>
      </c>
      <c r="G29" s="41" t="s">
        <v>53</v>
      </c>
      <c r="H29" s="41" t="s">
        <v>53</v>
      </c>
      <c r="I29" s="41" t="s">
        <v>53</v>
      </c>
      <c r="K29" t="s">
        <v>6</v>
      </c>
      <c r="L29" s="47" t="s">
        <v>6</v>
      </c>
    </row>
    <row r="30" spans="1:12" ht="15.75">
      <c r="A30" s="334" t="str">
        <f>+A15</f>
        <v>DCP Midstream LP</v>
      </c>
      <c r="B30" s="2" t="str">
        <f>+B15</f>
        <v>DCP</v>
      </c>
      <c r="C30" s="2" t="str">
        <f>+C15</f>
        <v>Pipeline MLPs</v>
      </c>
      <c r="D30" s="95">
        <f>(+H15)*G15</f>
        <v>5726108506.5600004</v>
      </c>
      <c r="E30" s="96">
        <f>(1/1)*I15</f>
        <v>751000000</v>
      </c>
      <c r="F30" s="45">
        <f>(6107/5445)*J15</f>
        <v>6093541046.8319559</v>
      </c>
      <c r="G30" s="139">
        <f>+D30+E30+F30</f>
        <v>12570649553.391956</v>
      </c>
      <c r="H30" s="11">
        <f t="shared" ref="H30:H38" si="1">(+D30)/G30</f>
        <v>0.4555141309316762</v>
      </c>
      <c r="I30" s="11">
        <f>(+E30+F30)/G30</f>
        <v>0.54448586906832386</v>
      </c>
      <c r="K30" t="s">
        <v>6</v>
      </c>
      <c r="L30" s="47"/>
    </row>
    <row r="31" spans="1:12" ht="15.75">
      <c r="A31" s="160" t="s">
        <v>343</v>
      </c>
      <c r="B31" s="3" t="s">
        <v>344</v>
      </c>
      <c r="C31" s="2" t="s">
        <v>339</v>
      </c>
      <c r="D31" s="95">
        <f t="shared" ref="D31:D38" si="2">(+H16)*G16</f>
        <v>25369118975.620003</v>
      </c>
      <c r="E31" s="96">
        <f t="shared" ref="E31:E38" si="3">(1/1)*I16</f>
        <v>6051000000</v>
      </c>
      <c r="F31" s="45">
        <f>(54.97/49.7)*J16</f>
        <v>54972212072.434608</v>
      </c>
      <c r="G31" s="139">
        <f>+D31+E31+F31</f>
        <v>86392331048.054611</v>
      </c>
      <c r="H31" s="11">
        <f>(+D31)/G31</f>
        <v>0.29365012690199038</v>
      </c>
      <c r="I31" s="11">
        <f>(+E31+F31)/G31</f>
        <v>0.70634987309800956</v>
      </c>
      <c r="L31" s="47"/>
    </row>
    <row r="32" spans="1:12" ht="15.75">
      <c r="A32" s="334" t="str">
        <f t="shared" ref="A32:C38" si="4">+A17</f>
        <v>Enterprise Products Partnership</v>
      </c>
      <c r="B32" s="2" t="str">
        <f t="shared" si="4"/>
        <v>EPD</v>
      </c>
      <c r="C32" s="2" t="str">
        <f t="shared" si="4"/>
        <v>Pipeline MLPs</v>
      </c>
      <c r="D32" s="95">
        <f t="shared" si="2"/>
        <v>47793295730.520004</v>
      </c>
      <c r="E32" s="96">
        <f t="shared" si="3"/>
        <v>0</v>
      </c>
      <c r="F32" s="45">
        <f>(33.48/29.58)*J17</f>
        <v>32553244624.746452</v>
      </c>
      <c r="G32" s="139">
        <f t="shared" ref="G32:G38" si="5">+D32+E32+F32</f>
        <v>80346540355.266449</v>
      </c>
      <c r="H32" s="11">
        <f t="shared" si="1"/>
        <v>0.59483949799448099</v>
      </c>
      <c r="I32" s="11">
        <f t="shared" ref="I32:I37" si="6">(+E32+F32)/G32</f>
        <v>0.40516050200551906</v>
      </c>
      <c r="L32" s="47"/>
    </row>
    <row r="33" spans="1:12" ht="15.75">
      <c r="A33" s="334" t="str">
        <f t="shared" si="4"/>
        <v>Holly Energy Partners LP</v>
      </c>
      <c r="B33" s="2" t="str">
        <f t="shared" si="4"/>
        <v>HEP</v>
      </c>
      <c r="C33" s="2" t="str">
        <f t="shared" si="4"/>
        <v>Pipeline MLPs</v>
      </c>
      <c r="D33" s="95">
        <f t="shared" si="2"/>
        <v>1738708914.4899998</v>
      </c>
      <c r="E33" s="96">
        <f>(1/1)*I18</f>
        <v>56549000</v>
      </c>
      <c r="F33" s="45">
        <f>(502705/493049)*J18</f>
        <v>1359155778.7258468</v>
      </c>
      <c r="G33" s="139">
        <f t="shared" si="5"/>
        <v>3154413693.2158465</v>
      </c>
      <c r="H33" s="11">
        <f t="shared" si="1"/>
        <v>0.55119875944915431</v>
      </c>
      <c r="I33" s="11">
        <f t="shared" si="6"/>
        <v>0.44880124055084569</v>
      </c>
      <c r="L33" s="47"/>
    </row>
    <row r="34" spans="1:12" ht="15.75">
      <c r="A34" s="334" t="str">
        <f t="shared" si="4"/>
        <v>Magellan Midstream Partners</v>
      </c>
      <c r="B34" s="2" t="str">
        <f t="shared" si="4"/>
        <v>MMP</v>
      </c>
      <c r="C34" s="2" t="str">
        <f t="shared" si="4"/>
        <v>Pipeline MLPs</v>
      </c>
      <c r="D34" s="95">
        <f t="shared" si="2"/>
        <v>9863856000</v>
      </c>
      <c r="E34" s="96">
        <f t="shared" si="3"/>
        <v>0</v>
      </c>
      <c r="F34" s="45">
        <f>(5711.5/5088.8)*J19</f>
        <v>5711500000</v>
      </c>
      <c r="G34" s="139">
        <f t="shared" si="5"/>
        <v>15575356000</v>
      </c>
      <c r="H34" s="11">
        <f t="shared" si="1"/>
        <v>0.63329891143419126</v>
      </c>
      <c r="I34" s="11">
        <f t="shared" si="6"/>
        <v>0.36670108856580869</v>
      </c>
      <c r="L34" s="47"/>
    </row>
    <row r="35" spans="1:12" ht="15.75">
      <c r="A35" s="334" t="str">
        <f t="shared" si="4"/>
        <v>MPLX, LP</v>
      </c>
      <c r="B35" s="2" t="str">
        <f t="shared" si="4"/>
        <v>MPLX</v>
      </c>
      <c r="C35" s="2" t="str">
        <f t="shared" si="4"/>
        <v>Pipeline MLPs</v>
      </c>
      <c r="D35" s="95">
        <f t="shared" si="2"/>
        <v>30068718205.02</v>
      </c>
      <c r="E35" s="96">
        <f>(1000/1000)*I20</f>
        <v>611000000</v>
      </c>
      <c r="F35" s="45">
        <f>(20779/18664)*J20</f>
        <v>20119914702.1003</v>
      </c>
      <c r="G35" s="139">
        <f t="shared" si="5"/>
        <v>50799632907.1203</v>
      </c>
      <c r="H35" s="11">
        <f t="shared" si="1"/>
        <v>0.59190817894287262</v>
      </c>
      <c r="I35" s="11">
        <f t="shared" si="6"/>
        <v>0.40809182105712744</v>
      </c>
      <c r="L35" s="47"/>
    </row>
    <row r="36" spans="1:12" ht="15.75">
      <c r="A36" s="334" t="str">
        <f t="shared" si="4"/>
        <v>NuStar Energy LP</v>
      </c>
      <c r="B36" s="2" t="str">
        <f t="shared" si="4"/>
        <v>NS</v>
      </c>
      <c r="C36" s="2" t="str">
        <f t="shared" si="4"/>
        <v>Pipeline MLPs</v>
      </c>
      <c r="D36" s="95">
        <f t="shared" si="2"/>
        <v>1746582015.24</v>
      </c>
      <c r="E36" s="96">
        <f t="shared" si="3"/>
        <v>756301000</v>
      </c>
      <c r="F36" s="45">
        <f>(3459153/3130625)*J21</f>
        <v>3521889287.1739664</v>
      </c>
      <c r="G36" s="139">
        <f t="shared" si="5"/>
        <v>6024772302.4139662</v>
      </c>
      <c r="H36" s="11">
        <f t="shared" si="1"/>
        <v>0.28990008710207871</v>
      </c>
      <c r="I36" s="11">
        <f t="shared" si="6"/>
        <v>0.71009991289792129</v>
      </c>
      <c r="L36" s="47"/>
    </row>
    <row r="37" spans="1:12" ht="15.75">
      <c r="A37" s="334" t="str">
        <f t="shared" si="4"/>
        <v>Phillips 66 Partners LP</v>
      </c>
      <c r="B37" s="2" t="str">
        <f t="shared" si="4"/>
        <v>PSXP</v>
      </c>
      <c r="C37" s="2" t="str">
        <f t="shared" si="4"/>
        <v>Pipeline MLPs</v>
      </c>
      <c r="D37" s="95">
        <f t="shared" si="2"/>
        <v>8236229066.2200003</v>
      </c>
      <c r="E37" s="96">
        <f t="shared" si="3"/>
        <v>729000000</v>
      </c>
      <c r="F37" s="45">
        <f>((3810+450)/3447)*J22</f>
        <v>4260000000</v>
      </c>
      <c r="G37" s="139">
        <f t="shared" si="5"/>
        <v>13225229066.220001</v>
      </c>
      <c r="H37" s="11">
        <f t="shared" si="1"/>
        <v>0.6227664583335687</v>
      </c>
      <c r="I37" s="11">
        <f t="shared" si="6"/>
        <v>0.37723354166643119</v>
      </c>
      <c r="L37" s="47"/>
    </row>
    <row r="38" spans="1:12" ht="15.75">
      <c r="A38" s="334" t="str">
        <f t="shared" si="4"/>
        <v>Plains All American Pipeline LP</v>
      </c>
      <c r="B38" s="2" t="str">
        <f t="shared" si="4"/>
        <v>PAA</v>
      </c>
      <c r="C38" s="2" t="str">
        <f t="shared" si="4"/>
        <v>Pipeline MLPs</v>
      </c>
      <c r="D38" s="95">
        <f t="shared" si="2"/>
        <v>6584620983.5999994</v>
      </c>
      <c r="E38" s="96">
        <f t="shared" si="3"/>
        <v>2292000000</v>
      </c>
      <c r="F38" s="45">
        <f>(9.9/9.1)*J23</f>
        <v>9136285714.2857151</v>
      </c>
      <c r="G38" s="139">
        <f t="shared" si="5"/>
        <v>18012906697.885712</v>
      </c>
      <c r="H38" s="11">
        <f t="shared" si="1"/>
        <v>0.36555016322673106</v>
      </c>
      <c r="I38" s="11">
        <f>(+E38+F38)/G38</f>
        <v>0.63444983677326905</v>
      </c>
      <c r="L38" s="47"/>
    </row>
    <row r="39" spans="1:12" ht="16.5" thickBot="1">
      <c r="A39" s="143" t="s">
        <v>6</v>
      </c>
      <c r="B39" s="17" t="s">
        <v>6</v>
      </c>
      <c r="C39" s="17" t="s">
        <v>6</v>
      </c>
      <c r="D39" s="49" t="s">
        <v>6</v>
      </c>
      <c r="E39" s="50" t="s">
        <v>6</v>
      </c>
      <c r="F39" s="52" t="s">
        <v>6</v>
      </c>
      <c r="G39" s="335" t="s">
        <v>6</v>
      </c>
      <c r="H39" s="53" t="s">
        <v>6</v>
      </c>
      <c r="I39" s="53" t="s">
        <v>6</v>
      </c>
      <c r="J39" t="s">
        <v>6</v>
      </c>
    </row>
    <row r="40" spans="1:12" ht="15.75">
      <c r="C40" s="56" t="s">
        <v>6</v>
      </c>
      <c r="D40" s="77" t="s">
        <v>6</v>
      </c>
      <c r="F40" s="77" t="s">
        <v>6</v>
      </c>
      <c r="G40" s="54" t="s">
        <v>54</v>
      </c>
      <c r="H40" s="54" t="s">
        <v>396</v>
      </c>
      <c r="I40" s="54" t="s">
        <v>397</v>
      </c>
    </row>
    <row r="41" spans="1:12" ht="15.75">
      <c r="C41" s="56" t="s">
        <v>6</v>
      </c>
      <c r="D41" s="57" t="s">
        <v>6</v>
      </c>
      <c r="F41" s="22" t="s">
        <v>6</v>
      </c>
      <c r="G41" s="54" t="s">
        <v>58</v>
      </c>
      <c r="H41" s="11">
        <f>MEDIAN(H30:H38)</f>
        <v>0.55119875944915431</v>
      </c>
      <c r="I41" s="11">
        <f>MEDIAN(I30:I38)</f>
        <v>0.44880124055084569</v>
      </c>
    </row>
    <row r="42" spans="1:12" ht="15.75">
      <c r="A42" s="85" t="s">
        <v>6</v>
      </c>
      <c r="C42" s="56" t="s">
        <v>6</v>
      </c>
      <c r="D42" s="57" t="s">
        <v>6</v>
      </c>
      <c r="E42" s="85" t="s">
        <v>6</v>
      </c>
      <c r="F42" s="22" t="s">
        <v>6</v>
      </c>
      <c r="G42" s="54" t="s">
        <v>29</v>
      </c>
      <c r="H42" s="11">
        <f>AVERAGE(H30:H38)</f>
        <v>0.48873625714630481</v>
      </c>
      <c r="I42" s="11">
        <f>AVERAGE(I30:I38)</f>
        <v>0.51126374285369502</v>
      </c>
    </row>
    <row r="43" spans="1:12" ht="15.75">
      <c r="G43" s="24"/>
      <c r="H43" s="24"/>
      <c r="I43" s="24"/>
    </row>
    <row r="44" spans="1:12" ht="21">
      <c r="G44" s="58" t="s">
        <v>20</v>
      </c>
      <c r="H44" s="336">
        <v>0.55000000000000004</v>
      </c>
      <c r="I44" s="336">
        <v>0.45</v>
      </c>
    </row>
    <row r="45" spans="1:12" ht="15.75">
      <c r="I45" s="24"/>
      <c r="J45" s="24"/>
    </row>
    <row r="50" spans="9:10" ht="15.75">
      <c r="J50" s="15"/>
    </row>
    <row r="51" spans="9:10" ht="15.75">
      <c r="J51" s="15"/>
    </row>
    <row r="52" spans="9:10" ht="15.75">
      <c r="J52" s="15"/>
    </row>
    <row r="53" spans="9:10" ht="15.75">
      <c r="I53" s="15"/>
      <c r="J53" s="15"/>
    </row>
    <row r="54" spans="9:10" ht="15.75">
      <c r="I54" s="15"/>
      <c r="J54" s="15"/>
    </row>
    <row r="55" spans="9:10" ht="15.75">
      <c r="I55" s="15"/>
      <c r="J55" s="15"/>
    </row>
    <row r="56" spans="9:10" ht="15.75">
      <c r="I56" s="15"/>
      <c r="J56" s="15"/>
    </row>
    <row r="57" spans="9:10" ht="15.75">
      <c r="I57" s="15"/>
      <c r="J57" s="15"/>
    </row>
    <row r="58" spans="9:10" ht="15.75">
      <c r="I58" s="15"/>
      <c r="J58" s="15"/>
    </row>
  </sheetData>
  <pageMargins left="0.25" right="0.25" top="0.75" bottom="0.75" header="0.3" footer="0.3"/>
  <pageSetup scale="44" orientation="landscape" r:id="rId1"/>
  <rowBreaks count="1" manualBreakCount="1">
    <brk id="45" max="10" man="1"/>
  </rowBreaks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57D7-571F-49CE-8AE1-B51794C80A64}">
  <sheetPr codeName="Sheet69">
    <pageSetUpPr fitToPage="1"/>
  </sheetPr>
  <dimension ref="A1:K25"/>
  <sheetViews>
    <sheetView topLeftCell="A6" zoomScaleNormal="100" workbookViewId="0">
      <selection activeCell="L12" sqref="L12"/>
    </sheetView>
  </sheetViews>
  <sheetFormatPr defaultRowHeight="15"/>
  <cols>
    <col min="1" max="1" width="45.140625" customWidth="1"/>
    <col min="2" max="2" width="10.85546875" bestFit="1" customWidth="1"/>
    <col min="3" max="3" width="24.28515625" customWidth="1"/>
    <col min="4" max="5" width="14.140625" customWidth="1"/>
    <col min="6" max="6" width="11.140625" customWidth="1"/>
    <col min="7" max="7" width="13" customWidth="1"/>
    <col min="8" max="8" width="17.42578125" customWidth="1"/>
    <col min="9" max="9" width="20" customWidth="1"/>
    <col min="10" max="10" width="17.425781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190" t="s">
        <v>2</v>
      </c>
    </row>
    <row r="4" spans="1:11">
      <c r="F4" s="4" t="s">
        <v>6</v>
      </c>
    </row>
    <row r="5" spans="1:11" ht="15.75">
      <c r="A5" s="66" t="s">
        <v>398</v>
      </c>
    </row>
    <row r="6" spans="1:11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1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75</v>
      </c>
      <c r="I7" s="3" t="s">
        <v>75</v>
      </c>
    </row>
    <row r="8" spans="1:11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1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1">
      <c r="A10" s="3"/>
      <c r="B10" s="3"/>
      <c r="C10" s="3"/>
      <c r="D10" s="3"/>
      <c r="E10" s="3"/>
      <c r="F10" s="3"/>
      <c r="G10" s="3"/>
      <c r="H10" s="3"/>
    </row>
    <row r="11" spans="1:11" ht="15.75">
      <c r="A11" s="160" t="s">
        <v>337</v>
      </c>
      <c r="B11" s="3" t="s">
        <v>338</v>
      </c>
      <c r="C11" s="2" t="s">
        <v>339</v>
      </c>
      <c r="D11" s="68">
        <v>1.6</v>
      </c>
      <c r="E11" s="69">
        <v>2.5000000000000001E-2</v>
      </c>
      <c r="F11" s="3" t="s">
        <v>78</v>
      </c>
      <c r="G11" s="233"/>
      <c r="H11" s="3" t="s">
        <v>81</v>
      </c>
      <c r="I11" s="93">
        <v>6.07</v>
      </c>
    </row>
    <row r="12" spans="1:11" ht="15.75">
      <c r="A12" s="160" t="s">
        <v>343</v>
      </c>
      <c r="B12" s="3" t="s">
        <v>344</v>
      </c>
      <c r="C12" s="2" t="s">
        <v>339</v>
      </c>
      <c r="D12" s="68">
        <v>1.2</v>
      </c>
      <c r="E12" s="69">
        <v>0</v>
      </c>
      <c r="F12" s="3" t="s">
        <v>78</v>
      </c>
      <c r="G12" s="3"/>
      <c r="H12" s="3" t="s">
        <v>96</v>
      </c>
      <c r="I12" s="93">
        <v>3.35</v>
      </c>
    </row>
    <row r="13" spans="1:11" ht="15.75">
      <c r="A13" s="160" t="s">
        <v>347</v>
      </c>
      <c r="B13" s="70" t="s">
        <v>348</v>
      </c>
      <c r="C13" s="2" t="s">
        <v>339</v>
      </c>
      <c r="D13" s="68">
        <v>1.1000000000000001</v>
      </c>
      <c r="E13" s="184">
        <v>0.01</v>
      </c>
      <c r="F13" s="3" t="s">
        <v>80</v>
      </c>
      <c r="G13" s="3" t="s">
        <v>220</v>
      </c>
      <c r="H13" s="3" t="s">
        <v>114</v>
      </c>
      <c r="I13" s="93">
        <v>3.35</v>
      </c>
      <c r="K13" t="s">
        <v>6</v>
      </c>
    </row>
    <row r="14" spans="1:11" ht="15.75">
      <c r="A14" s="160" t="s">
        <v>399</v>
      </c>
      <c r="B14" s="70" t="s">
        <v>385</v>
      </c>
      <c r="C14" s="2" t="s">
        <v>339</v>
      </c>
      <c r="D14" s="68">
        <v>0.9</v>
      </c>
      <c r="E14" s="184">
        <v>1E-3</v>
      </c>
      <c r="F14" s="3" t="s">
        <v>108</v>
      </c>
      <c r="G14" s="233"/>
      <c r="H14" s="3" t="s">
        <v>79</v>
      </c>
      <c r="I14" s="93">
        <v>6.83</v>
      </c>
    </row>
    <row r="15" spans="1:11" ht="15.75">
      <c r="A15" s="160" t="s">
        <v>400</v>
      </c>
      <c r="B15" s="3" t="s">
        <v>387</v>
      </c>
      <c r="C15" s="2" t="s">
        <v>339</v>
      </c>
      <c r="D15" s="68">
        <v>1.2</v>
      </c>
      <c r="E15" s="69">
        <v>4.0000000000000001E-3</v>
      </c>
      <c r="F15" s="3" t="s">
        <v>78</v>
      </c>
      <c r="G15" s="3"/>
      <c r="H15" s="3" t="s">
        <v>114</v>
      </c>
      <c r="I15" s="93">
        <v>3.35</v>
      </c>
    </row>
    <row r="16" spans="1:11" ht="15.75">
      <c r="A16" s="160" t="s">
        <v>388</v>
      </c>
      <c r="B16" s="3" t="s">
        <v>389</v>
      </c>
      <c r="C16" s="2" t="s">
        <v>339</v>
      </c>
      <c r="D16" s="68">
        <v>1.05</v>
      </c>
      <c r="E16" s="69">
        <v>5.0000000000000001E-3</v>
      </c>
      <c r="F16" s="3" t="s">
        <v>78</v>
      </c>
      <c r="G16" s="3" t="s">
        <v>127</v>
      </c>
      <c r="H16" s="3" t="s">
        <v>146</v>
      </c>
      <c r="I16" s="93">
        <v>3.35</v>
      </c>
    </row>
    <row r="17" spans="1:11" ht="15.75">
      <c r="A17" s="160" t="s">
        <v>390</v>
      </c>
      <c r="B17" s="3" t="s">
        <v>391</v>
      </c>
      <c r="C17" s="2" t="s">
        <v>339</v>
      </c>
      <c r="D17" s="68">
        <v>1.25</v>
      </c>
      <c r="E17" s="69">
        <v>9.1999999999999998E-2</v>
      </c>
      <c r="F17" s="3" t="s">
        <v>124</v>
      </c>
      <c r="G17" s="3" t="s">
        <v>401</v>
      </c>
      <c r="H17" s="3" t="s">
        <v>402</v>
      </c>
      <c r="I17" s="93">
        <v>7.98</v>
      </c>
      <c r="K17" t="s">
        <v>6</v>
      </c>
    </row>
    <row r="18" spans="1:11" ht="15.75">
      <c r="A18" s="24" t="s">
        <v>403</v>
      </c>
      <c r="B18" s="3" t="s">
        <v>393</v>
      </c>
      <c r="C18" s="2" t="s">
        <v>339</v>
      </c>
      <c r="D18" s="68">
        <v>1.05</v>
      </c>
      <c r="E18" s="184">
        <v>5.0000000000000001E-3</v>
      </c>
      <c r="F18" s="3" t="s">
        <v>80</v>
      </c>
      <c r="G18" s="3" t="s">
        <v>220</v>
      </c>
      <c r="H18" s="3" t="s">
        <v>223</v>
      </c>
      <c r="I18" s="93">
        <v>3.02</v>
      </c>
    </row>
    <row r="19" spans="1:11" ht="15.75">
      <c r="A19" s="24" t="s">
        <v>394</v>
      </c>
      <c r="B19" s="3" t="s">
        <v>395</v>
      </c>
      <c r="C19" s="2" t="s">
        <v>339</v>
      </c>
      <c r="D19" s="68">
        <v>1.5</v>
      </c>
      <c r="E19" s="69">
        <v>0.10100000000000001</v>
      </c>
      <c r="F19" s="3" t="s">
        <v>124</v>
      </c>
      <c r="G19" s="3"/>
      <c r="H19" s="3" t="s">
        <v>96</v>
      </c>
      <c r="I19" s="93">
        <v>3.35</v>
      </c>
    </row>
    <row r="20" spans="1:11" ht="15.75" thickBot="1">
      <c r="C20" s="76"/>
      <c r="D20" s="76"/>
      <c r="E20" s="76"/>
      <c r="F20" s="73"/>
      <c r="G20" s="73"/>
      <c r="H20" s="73" t="s">
        <v>6</v>
      </c>
      <c r="I20" s="76"/>
    </row>
    <row r="21" spans="1:11" ht="15.75" thickTop="1">
      <c r="C21" s="77" t="s">
        <v>54</v>
      </c>
      <c r="D21" s="234" t="s">
        <v>404</v>
      </c>
      <c r="E21" s="234" t="s">
        <v>405</v>
      </c>
      <c r="F21" s="3" t="s">
        <v>6</v>
      </c>
      <c r="G21" s="3" t="s">
        <v>6</v>
      </c>
      <c r="H21" s="3" t="s">
        <v>6</v>
      </c>
      <c r="I21" s="234" t="s">
        <v>406</v>
      </c>
    </row>
    <row r="22" spans="1:11">
      <c r="C22" s="77" t="s">
        <v>58</v>
      </c>
      <c r="D22" s="185">
        <f>MEDIAN(D11:D19)</f>
        <v>1.2</v>
      </c>
      <c r="E22" s="109">
        <f>MEDIAN(E11:E19)</f>
        <v>5.0000000000000001E-3</v>
      </c>
      <c r="F22" s="3" t="s">
        <v>78</v>
      </c>
      <c r="G22" s="337" t="s">
        <v>127</v>
      </c>
      <c r="H22" s="3" t="s">
        <v>96</v>
      </c>
      <c r="I22" s="185">
        <f>MEDIAN(I11:I19)</f>
        <v>3.35</v>
      </c>
    </row>
    <row r="23" spans="1:11">
      <c r="C23" s="77" t="s">
        <v>29</v>
      </c>
      <c r="D23" s="186">
        <f>AVERAGE(D11:D19)</f>
        <v>1.2055555555555557</v>
      </c>
      <c r="E23" s="12">
        <f>AVERAGE(E11:E19)</f>
        <v>2.7000000000000003E-2</v>
      </c>
      <c r="I23" s="186">
        <f>AVERAGE(I11:I19)</f>
        <v>4.5166666666666675</v>
      </c>
      <c r="J23" s="308" t="s">
        <v>6</v>
      </c>
    </row>
    <row r="24" spans="1:11">
      <c r="J24" s="151"/>
    </row>
    <row r="25" spans="1:11" ht="21">
      <c r="F25" s="22"/>
      <c r="G25" s="22"/>
      <c r="H25" s="58" t="s">
        <v>20</v>
      </c>
      <c r="I25" s="105">
        <v>3.3500000000000002E-2</v>
      </c>
      <c r="J25" s="152" t="s">
        <v>6</v>
      </c>
    </row>
  </sheetData>
  <pageMargins left="0.25" right="0.25" top="0.75" bottom="0.75" header="0.3" footer="0.3"/>
  <pageSetup scale="59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4729-8B46-420A-AE67-AE301E3755BD}">
  <sheetPr codeName="Sheet70">
    <pageSetUpPr fitToPage="1"/>
  </sheetPr>
  <dimension ref="A1:H52"/>
  <sheetViews>
    <sheetView topLeftCell="A7" zoomScale="90" zoomScaleNormal="90" workbookViewId="0">
      <selection activeCell="A16" sqref="A16"/>
    </sheetView>
  </sheetViews>
  <sheetFormatPr defaultRowHeight="15"/>
  <cols>
    <col min="1" max="1" width="43.7109375" customWidth="1"/>
    <col min="2" max="2" width="12.85546875" customWidth="1"/>
    <col min="3" max="3" width="21.28515625" customWidth="1"/>
    <col min="4" max="4" width="17.28515625" customWidth="1"/>
    <col min="5" max="5" width="21.85546875" customWidth="1"/>
    <col min="6" max="6" width="18" customWidth="1"/>
    <col min="7" max="7" width="23" customWidth="1"/>
    <col min="8" max="8" width="23.140625" customWidth="1"/>
    <col min="12" max="12" width="11.5703125" customWidth="1"/>
  </cols>
  <sheetData>
    <row r="1" spans="1:8" ht="21">
      <c r="A1" s="23" t="s">
        <v>0</v>
      </c>
    </row>
    <row r="2" spans="1:8" ht="15.75">
      <c r="A2" s="24" t="s">
        <v>1</v>
      </c>
    </row>
    <row r="3" spans="1:8">
      <c r="A3" s="22" t="s">
        <v>2</v>
      </c>
    </row>
    <row r="4" spans="1:8">
      <c r="E4" s="4" t="s">
        <v>6</v>
      </c>
    </row>
    <row r="5" spans="1:8" ht="15.75">
      <c r="A5" s="66" t="s">
        <v>398</v>
      </c>
    </row>
    <row r="6" spans="1:8">
      <c r="A6" s="22" t="s">
        <v>407</v>
      </c>
    </row>
    <row r="7" spans="1:8">
      <c r="A7" s="22"/>
    </row>
    <row r="8" spans="1:8" ht="18.75">
      <c r="A8" s="66"/>
      <c r="E8" s="84" t="s">
        <v>83</v>
      </c>
    </row>
    <row r="9" spans="1:8" ht="18.75">
      <c r="A9" s="66"/>
      <c r="E9" s="84" t="s">
        <v>84</v>
      </c>
    </row>
    <row r="10" spans="1:8" ht="15.75">
      <c r="A10" s="66"/>
      <c r="E10" s="257"/>
    </row>
    <row r="11" spans="1:8" ht="15.75" thickBot="1">
      <c r="A11" s="67" t="s">
        <v>6</v>
      </c>
      <c r="B11" s="67" t="s">
        <v>6</v>
      </c>
      <c r="C11" s="67"/>
      <c r="D11" s="67" t="s">
        <v>6</v>
      </c>
      <c r="E11" s="67" t="s">
        <v>6</v>
      </c>
      <c r="F11" s="67" t="s">
        <v>6</v>
      </c>
      <c r="G11" s="67" t="s">
        <v>6</v>
      </c>
      <c r="H11" s="301"/>
    </row>
    <row r="12" spans="1:8">
      <c r="A12" s="3" t="s">
        <v>6</v>
      </c>
      <c r="B12" s="3" t="s">
        <v>26</v>
      </c>
      <c r="C12" s="3"/>
      <c r="D12" s="3" t="s">
        <v>6</v>
      </c>
      <c r="E12" s="3" t="s">
        <v>85</v>
      </c>
      <c r="F12" s="3" t="s">
        <v>85</v>
      </c>
      <c r="G12" s="3" t="s">
        <v>86</v>
      </c>
      <c r="H12" s="3"/>
    </row>
    <row r="13" spans="1:8" ht="15.75" thickBot="1">
      <c r="A13" s="7" t="s">
        <v>33</v>
      </c>
      <c r="B13" s="7" t="s">
        <v>34</v>
      </c>
      <c r="C13" s="7"/>
      <c r="D13" s="7" t="s">
        <v>87</v>
      </c>
      <c r="E13" s="7" t="s">
        <v>88</v>
      </c>
      <c r="F13" s="7" t="s">
        <v>89</v>
      </c>
      <c r="G13" s="7" t="s">
        <v>90</v>
      </c>
      <c r="H13" s="3"/>
    </row>
    <row r="14" spans="1:8">
      <c r="A14" s="8" t="s">
        <v>6</v>
      </c>
      <c r="B14" s="8" t="s">
        <v>6</v>
      </c>
      <c r="C14" s="8"/>
      <c r="D14" s="8" t="s">
        <v>408</v>
      </c>
      <c r="E14" s="338" t="s">
        <v>147</v>
      </c>
      <c r="F14" s="8" t="s">
        <v>6</v>
      </c>
      <c r="G14" s="8" t="s">
        <v>6</v>
      </c>
      <c r="H14" s="301"/>
    </row>
    <row r="15" spans="1:8" ht="15.75">
      <c r="A15" s="160" t="s">
        <v>337</v>
      </c>
      <c r="B15" s="3" t="s">
        <v>338</v>
      </c>
      <c r="C15" s="2" t="s">
        <v>339</v>
      </c>
      <c r="D15" s="339">
        <f>'[9]S&amp;D'!G15</f>
        <v>27.48</v>
      </c>
      <c r="E15" s="43">
        <v>3.65</v>
      </c>
      <c r="F15" s="14">
        <f t="shared" ref="F15:F22" si="0">D15/E15</f>
        <v>7.5287671232876718</v>
      </c>
      <c r="G15" s="10">
        <f t="shared" ref="G15:G23" si="1">1/F15</f>
        <v>0.13282387190684133</v>
      </c>
      <c r="H15" s="10"/>
    </row>
    <row r="16" spans="1:8" ht="15.75">
      <c r="A16" s="160" t="s">
        <v>343</v>
      </c>
      <c r="B16" s="3" t="s">
        <v>344</v>
      </c>
      <c r="C16" s="2" t="s">
        <v>339</v>
      </c>
      <c r="D16" s="339">
        <v>8.23</v>
      </c>
      <c r="E16" s="43">
        <v>3.3</v>
      </c>
      <c r="F16" s="43">
        <f>D16/E16</f>
        <v>2.4939393939393941</v>
      </c>
      <c r="G16" s="9">
        <f>1/F16</f>
        <v>0.40097205346294046</v>
      </c>
      <c r="H16" s="9" t="s">
        <v>6</v>
      </c>
    </row>
    <row r="17" spans="1:8" ht="15.75">
      <c r="A17" s="160" t="s">
        <v>347</v>
      </c>
      <c r="B17" s="70" t="s">
        <v>348</v>
      </c>
      <c r="C17" s="2" t="s">
        <v>339</v>
      </c>
      <c r="D17" s="339">
        <f>'[9]S&amp;D'!G17</f>
        <v>21.96</v>
      </c>
      <c r="E17" s="43">
        <v>3.1</v>
      </c>
      <c r="F17" s="43">
        <f>D17/E17</f>
        <v>7.0838709677419356</v>
      </c>
      <c r="G17" s="9">
        <f>1/F17</f>
        <v>0.14116575591985428</v>
      </c>
      <c r="H17" s="9"/>
    </row>
    <row r="18" spans="1:8" ht="15.75">
      <c r="A18" s="160" t="s">
        <v>384</v>
      </c>
      <c r="B18" s="70" t="s">
        <v>385</v>
      </c>
      <c r="C18" s="2" t="s">
        <v>339</v>
      </c>
      <c r="D18" s="339">
        <f>'[9]S&amp;D'!G18</f>
        <v>16.489999999999998</v>
      </c>
      <c r="E18" s="43">
        <v>3</v>
      </c>
      <c r="F18" s="14">
        <f>D18/E18</f>
        <v>5.4966666666666661</v>
      </c>
      <c r="G18" s="10">
        <f>1/F18</f>
        <v>0.18192844147968468</v>
      </c>
      <c r="H18" s="10"/>
    </row>
    <row r="19" spans="1:8" ht="15.75">
      <c r="A19" s="160" t="s">
        <v>400</v>
      </c>
      <c r="B19" s="3" t="s">
        <v>387</v>
      </c>
      <c r="C19" s="2" t="s">
        <v>339</v>
      </c>
      <c r="D19" s="339">
        <f>'[9]S&amp;D'!G19</f>
        <v>46.44</v>
      </c>
      <c r="E19" s="43">
        <v>4.8</v>
      </c>
      <c r="F19" s="14">
        <f t="shared" si="0"/>
        <v>9.6750000000000007</v>
      </c>
      <c r="G19" s="10">
        <f t="shared" si="1"/>
        <v>0.10335917312661498</v>
      </c>
      <c r="H19" s="10"/>
    </row>
    <row r="20" spans="1:8" ht="15.75">
      <c r="A20" s="160" t="s">
        <v>388</v>
      </c>
      <c r="B20" s="3" t="s">
        <v>389</v>
      </c>
      <c r="C20" s="2" t="s">
        <v>339</v>
      </c>
      <c r="D20" s="339">
        <f>'[9]S&amp;D'!G20</f>
        <v>29.59</v>
      </c>
      <c r="E20" s="43">
        <v>4</v>
      </c>
      <c r="F20" s="14">
        <f t="shared" si="0"/>
        <v>7.3975</v>
      </c>
      <c r="G20" s="10">
        <f t="shared" si="1"/>
        <v>0.13518080432578575</v>
      </c>
      <c r="H20" s="10"/>
    </row>
    <row r="21" spans="1:8" ht="15.75">
      <c r="A21" s="160" t="s">
        <v>390</v>
      </c>
      <c r="B21" s="3" t="s">
        <v>391</v>
      </c>
      <c r="C21" s="2" t="s">
        <v>339</v>
      </c>
      <c r="D21" s="339">
        <v>16.59</v>
      </c>
      <c r="E21" s="43">
        <v>5</v>
      </c>
      <c r="F21" s="14">
        <f t="shared" si="0"/>
        <v>3.3180000000000001</v>
      </c>
      <c r="G21" s="10">
        <f t="shared" si="1"/>
        <v>0.30138637733574442</v>
      </c>
      <c r="H21" s="10"/>
    </row>
    <row r="22" spans="1:8" ht="15.75">
      <c r="A22" s="24" t="s">
        <v>403</v>
      </c>
      <c r="B22" s="3" t="s">
        <v>393</v>
      </c>
      <c r="C22" s="2" t="s">
        <v>339</v>
      </c>
      <c r="D22" s="339">
        <f>'[9]S&amp;D'!G22</f>
        <v>36.07</v>
      </c>
      <c r="E22" s="43">
        <v>4</v>
      </c>
      <c r="F22" s="14">
        <f t="shared" si="0"/>
        <v>9.0175000000000001</v>
      </c>
      <c r="G22" s="10">
        <f t="shared" si="1"/>
        <v>0.11089548100914888</v>
      </c>
      <c r="H22" s="10"/>
    </row>
    <row r="23" spans="1:8" ht="15.75">
      <c r="A23" s="24" t="s">
        <v>394</v>
      </c>
      <c r="B23" s="3" t="s">
        <v>395</v>
      </c>
      <c r="C23" s="2" t="s">
        <v>339</v>
      </c>
      <c r="D23" s="339">
        <f>'[9]S&amp;D'!G23</f>
        <v>9.34</v>
      </c>
      <c r="E23" s="43">
        <v>1.95</v>
      </c>
      <c r="F23" s="14">
        <f>D23/E23</f>
        <v>4.7897435897435896</v>
      </c>
      <c r="G23" s="10">
        <f t="shared" si="1"/>
        <v>0.20877944325481798</v>
      </c>
      <c r="H23" s="10"/>
    </row>
    <row r="24" spans="1:8" ht="15.75" thickBot="1">
      <c r="B24" s="76"/>
      <c r="C24" s="76"/>
      <c r="D24" s="73"/>
      <c r="E24" s="73"/>
      <c r="F24" s="73"/>
      <c r="G24" s="73"/>
      <c r="H24" s="22"/>
    </row>
    <row r="25" spans="1:8" ht="15.75" thickTop="1">
      <c r="B25" s="77" t="s">
        <v>54</v>
      </c>
      <c r="C25" s="77"/>
      <c r="D25" s="234" t="s">
        <v>409</v>
      </c>
      <c r="E25" s="234" t="s">
        <v>410</v>
      </c>
      <c r="F25" s="234" t="s">
        <v>411</v>
      </c>
      <c r="G25" s="234" t="s">
        <v>412</v>
      </c>
      <c r="H25" s="234"/>
    </row>
    <row r="26" spans="1:8">
      <c r="B26" s="77" t="s">
        <v>58</v>
      </c>
      <c r="C26" s="77"/>
      <c r="D26" s="340">
        <f>MEDIAN(D15:D23)</f>
        <v>21.96</v>
      </c>
      <c r="E26" s="235">
        <f>MEDIAN(E15:E23)</f>
        <v>3.65</v>
      </c>
      <c r="F26" s="235">
        <f>MEDIAN(F15:F23)</f>
        <v>7.0838709677419356</v>
      </c>
      <c r="G26" s="12">
        <f>MEDIAN(G15:G23)</f>
        <v>0.14116575591985428</v>
      </c>
      <c r="H26" s="81"/>
    </row>
    <row r="27" spans="1:8">
      <c r="B27" s="77" t="s">
        <v>29</v>
      </c>
      <c r="C27" s="77"/>
      <c r="D27" s="340">
        <f>AVERAGE(D15:D23)</f>
        <v>23.576666666666668</v>
      </c>
      <c r="E27" s="186">
        <f>AVERAGE(E15:E23)</f>
        <v>3.6444444444444439</v>
      </c>
      <c r="F27" s="186">
        <f>AVERAGE(F15:F23)</f>
        <v>6.3112208601532505</v>
      </c>
      <c r="G27" s="12">
        <f>AVERAGE(G15:G23)</f>
        <v>0.19072126686904808</v>
      </c>
      <c r="H27" s="81"/>
    </row>
    <row r="28" spans="1:8">
      <c r="A28" t="s">
        <v>6</v>
      </c>
    </row>
    <row r="29" spans="1:8" ht="21">
      <c r="A29" s="85" t="s">
        <v>6</v>
      </c>
      <c r="F29" s="58" t="s">
        <v>20</v>
      </c>
      <c r="G29" s="105">
        <v>0.14119999999999999</v>
      </c>
      <c r="H29" s="83"/>
    </row>
    <row r="30" spans="1:8" ht="23.25">
      <c r="A30" s="324"/>
    </row>
    <row r="31" spans="1:8" ht="23.25">
      <c r="A31" s="326" t="s">
        <v>264</v>
      </c>
      <c r="B31" s="341"/>
      <c r="C31" s="341"/>
    </row>
    <row r="32" spans="1:8">
      <c r="A32" s="189"/>
      <c r="B32" s="341"/>
      <c r="C32" s="341"/>
    </row>
    <row r="33" spans="1:3">
      <c r="A33" s="258" t="s">
        <v>413</v>
      </c>
      <c r="B33" s="341"/>
      <c r="C33" s="341"/>
    </row>
    <row r="34" spans="1:3">
      <c r="A34" s="258" t="s">
        <v>414</v>
      </c>
      <c r="B34" s="341"/>
      <c r="C34" s="341"/>
    </row>
    <row r="35" spans="1:3">
      <c r="A35" s="258" t="s">
        <v>415</v>
      </c>
    </row>
    <row r="36" spans="1:3">
      <c r="A36" s="258" t="s">
        <v>416</v>
      </c>
    </row>
    <row r="37" spans="1:3">
      <c r="A37" s="258" t="s">
        <v>417</v>
      </c>
    </row>
    <row r="38" spans="1:3">
      <c r="A38" s="258" t="s">
        <v>418</v>
      </c>
    </row>
    <row r="39" spans="1:3">
      <c r="A39" s="258" t="s">
        <v>419</v>
      </c>
    </row>
    <row r="40" spans="1:3">
      <c r="A40" s="258" t="s">
        <v>420</v>
      </c>
    </row>
    <row r="41" spans="1:3">
      <c r="A41" s="258" t="s">
        <v>421</v>
      </c>
    </row>
    <row r="42" spans="1:3">
      <c r="A42" s="258" t="s">
        <v>422</v>
      </c>
    </row>
    <row r="43" spans="1:3">
      <c r="A43" s="258" t="s">
        <v>423</v>
      </c>
    </row>
    <row r="44" spans="1:3">
      <c r="A44" s="258" t="s">
        <v>424</v>
      </c>
      <c r="B44" s="151"/>
      <c r="C44" s="151"/>
    </row>
    <row r="45" spans="1:3">
      <c r="A45" s="258"/>
      <c r="B45" s="151"/>
      <c r="C45" s="151"/>
    </row>
    <row r="46" spans="1:3" ht="23.25">
      <c r="A46" s="259" t="s">
        <v>272</v>
      </c>
    </row>
    <row r="47" spans="1:3" s="260" customFormat="1">
      <c r="A47" s="261" t="s">
        <v>425</v>
      </c>
    </row>
    <row r="48" spans="1:3" s="260" customFormat="1">
      <c r="A48" s="261"/>
    </row>
    <row r="49" spans="1:5" s="260" customFormat="1" ht="23.25">
      <c r="A49" s="259" t="s">
        <v>426</v>
      </c>
    </row>
    <row r="50" spans="1:5" s="260" customFormat="1">
      <c r="A50" s="342" t="s">
        <v>427</v>
      </c>
      <c r="B50"/>
      <c r="C50"/>
      <c r="D50"/>
      <c r="E50"/>
    </row>
    <row r="51" spans="1:5">
      <c r="A51" s="342" t="s">
        <v>428</v>
      </c>
    </row>
    <row r="52" spans="1:5">
      <c r="A52" s="261"/>
    </row>
  </sheetData>
  <pageMargins left="0.25" right="0.25" top="0.75" bottom="0.75" header="0.3" footer="0.3"/>
  <pageSetup scale="5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DB9B-4D4A-4FED-953F-223461100251}">
  <sheetPr codeName="Sheet73">
    <pageSetUpPr fitToPage="1"/>
  </sheetPr>
  <dimension ref="A1:F24"/>
  <sheetViews>
    <sheetView topLeftCell="B5" zoomScaleNormal="100" workbookViewId="0">
      <selection activeCell="E20" sqref="E20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6" ht="21">
      <c r="C1" s="1" t="s">
        <v>0</v>
      </c>
    </row>
    <row r="2" spans="1:6" ht="15.75">
      <c r="C2" s="2" t="s">
        <v>1</v>
      </c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429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</row>
    <row r="17" spans="1:6">
      <c r="A17" s="3"/>
      <c r="B17" s="3"/>
      <c r="C17" s="3"/>
      <c r="D17" s="3"/>
      <c r="E17" s="3"/>
      <c r="F17" s="3"/>
    </row>
    <row r="18" spans="1:6" ht="15.75">
      <c r="A18" s="2" t="s">
        <v>17</v>
      </c>
      <c r="B18" s="9">
        <f>+'[10]S&amp;D'!H49</f>
        <v>0.74</v>
      </c>
      <c r="C18" s="10">
        <f>+'[10]CF Multiples'!F28</f>
        <v>4.1300000000000003E-2</v>
      </c>
      <c r="D18" s="2" t="s">
        <v>177</v>
      </c>
      <c r="E18" s="10">
        <f>+C18</f>
        <v>4.1300000000000003E-2</v>
      </c>
      <c r="F18" s="11">
        <f>+E18*B18</f>
        <v>3.0562000000000002E-2</v>
      </c>
    </row>
    <row r="19" spans="1:6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</row>
    <row r="20" spans="1:6" ht="15.75">
      <c r="A20" s="2" t="s">
        <v>18</v>
      </c>
      <c r="B20" s="9">
        <f>+'[10]S&amp;D'!I49</f>
        <v>0.26</v>
      </c>
      <c r="C20" s="9">
        <f>+[10]Debt!I24</f>
        <v>3.0200000000000001E-2</v>
      </c>
      <c r="D20" s="9">
        <v>0.26</v>
      </c>
      <c r="E20" s="10">
        <f>+C20*(1-D20)</f>
        <v>2.2348E-2</v>
      </c>
      <c r="F20" s="11">
        <f>+B20*E20</f>
        <v>5.8104799999999998E-3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53" t="s">
        <v>6</v>
      </c>
    </row>
    <row r="22" spans="1:6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3.6372479999999999E-2</v>
      </c>
    </row>
    <row r="23" spans="1:6" ht="15.75">
      <c r="A23" s="24"/>
      <c r="B23" s="24"/>
      <c r="C23" s="24"/>
      <c r="D23" s="24"/>
      <c r="E23" s="24"/>
      <c r="F23" s="24"/>
    </row>
    <row r="24" spans="1:6" ht="15.75">
      <c r="E24" s="14" t="s">
        <v>20</v>
      </c>
      <c r="F24" s="11">
        <v>3.6400000000000002E-2</v>
      </c>
    </row>
  </sheetData>
  <pageMargins left="0.25" right="0.25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0864-9E10-456E-9D5A-67FA4A2A4232}">
  <sheetPr codeName="Sheet74">
    <pageSetUpPr fitToPage="1"/>
  </sheetPr>
  <dimension ref="A1:L50"/>
  <sheetViews>
    <sheetView topLeftCell="A7" zoomScale="80" zoomScaleNormal="80" zoomScalePageLayoutView="70" workbookViewId="0">
      <pane xSplit="2" topLeftCell="C1" activePane="topRight" state="frozen"/>
      <selection activeCell="L12" sqref="L12"/>
      <selection pane="topRight" activeCell="L12" sqref="L12"/>
    </sheetView>
  </sheetViews>
  <sheetFormatPr defaultRowHeight="15"/>
  <cols>
    <col min="1" max="1" width="51.7109375" customWidth="1"/>
    <col min="2" max="2" width="10.85546875" bestFit="1" customWidth="1"/>
    <col min="3" max="3" width="16.85546875" customWidth="1"/>
    <col min="4" max="4" width="18.7109375" customWidth="1"/>
    <col min="5" max="5" width="21.7109375" customWidth="1"/>
    <col min="6" max="6" width="20.5703125" customWidth="1"/>
    <col min="7" max="7" width="21.5703125" customWidth="1"/>
    <col min="8" max="8" width="26.5703125" customWidth="1"/>
    <col min="9" max="9" width="27" customWidth="1"/>
    <col min="10" max="10" width="27.7109375" customWidth="1"/>
    <col min="11" max="11" width="23.42578125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430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  <c r="K10" s="33"/>
      <c r="L10" s="33"/>
    </row>
    <row r="11" spans="1:12" ht="18">
      <c r="A11" s="34"/>
      <c r="B11" s="34"/>
      <c r="C11" s="34"/>
      <c r="D11" s="343" t="s">
        <v>431</v>
      </c>
      <c r="E11" s="343" t="s">
        <v>431</v>
      </c>
      <c r="F11" s="34"/>
      <c r="G11" s="34"/>
      <c r="H11" s="35" t="s">
        <v>23</v>
      </c>
      <c r="I11" s="28"/>
      <c r="J11" s="28"/>
      <c r="K11" s="28"/>
      <c r="L11" s="28"/>
    </row>
    <row r="12" spans="1:12" ht="15.75">
      <c r="A12" s="36"/>
      <c r="B12" s="36"/>
      <c r="C12" s="36"/>
      <c r="D12" s="37" t="s">
        <v>24</v>
      </c>
      <c r="E12" s="37" t="s">
        <v>24</v>
      </c>
      <c r="F12" s="37" t="s">
        <v>24</v>
      </c>
      <c r="G12" s="36"/>
      <c r="H12" s="35" t="s">
        <v>25</v>
      </c>
      <c r="I12" s="35" t="s">
        <v>23</v>
      </c>
      <c r="J12" s="35" t="s">
        <v>23</v>
      </c>
    </row>
    <row r="13" spans="1:12" ht="15.75">
      <c r="A13" s="36" t="s">
        <v>6</v>
      </c>
      <c r="B13" s="36" t="s">
        <v>26</v>
      </c>
      <c r="C13" s="36" t="s">
        <v>27</v>
      </c>
      <c r="D13" s="37" t="s">
        <v>28</v>
      </c>
      <c r="E13" s="37" t="s">
        <v>28</v>
      </c>
      <c r="F13" s="37" t="s">
        <v>29</v>
      </c>
      <c r="G13" s="35" t="s">
        <v>23</v>
      </c>
      <c r="H13" s="36" t="s">
        <v>30</v>
      </c>
      <c r="I13" s="36" t="s">
        <v>31</v>
      </c>
      <c r="J13" s="38" t="s">
        <v>47</v>
      </c>
    </row>
    <row r="14" spans="1:12" ht="16.5" thickBot="1">
      <c r="A14" s="39" t="s">
        <v>33</v>
      </c>
      <c r="B14" s="39" t="s">
        <v>34</v>
      </c>
      <c r="C14" s="39" t="s">
        <v>35</v>
      </c>
      <c r="D14" s="39" t="s">
        <v>36</v>
      </c>
      <c r="E14" s="39" t="s">
        <v>37</v>
      </c>
      <c r="F14" s="39" t="s">
        <v>28</v>
      </c>
      <c r="G14" s="39" t="s">
        <v>28</v>
      </c>
      <c r="H14" s="40" t="s">
        <v>38</v>
      </c>
      <c r="I14" s="344" t="s">
        <v>155</v>
      </c>
      <c r="J14" s="344" t="s">
        <v>155</v>
      </c>
    </row>
    <row r="15" spans="1:12" ht="15.75">
      <c r="A15" s="41" t="s">
        <v>40</v>
      </c>
      <c r="B15" s="41" t="s">
        <v>40</v>
      </c>
      <c r="C15" s="41" t="s">
        <v>40</v>
      </c>
      <c r="D15" s="41" t="s">
        <v>40</v>
      </c>
      <c r="E15" s="41" t="s">
        <v>40</v>
      </c>
      <c r="F15" s="41" t="s">
        <v>40</v>
      </c>
      <c r="G15" s="41" t="s">
        <v>40</v>
      </c>
      <c r="H15" s="41" t="s">
        <v>42</v>
      </c>
      <c r="I15" s="41" t="s">
        <v>42</v>
      </c>
      <c r="J15" s="41" t="s">
        <v>42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2" ht="15.75">
      <c r="A17" s="24" t="s">
        <v>432</v>
      </c>
      <c r="B17" s="2" t="s">
        <v>433</v>
      </c>
      <c r="C17" s="13" t="s">
        <v>434</v>
      </c>
      <c r="D17" s="13">
        <v>103.77</v>
      </c>
      <c r="E17" s="13">
        <v>102.13</v>
      </c>
      <c r="F17" s="43">
        <f>AVERAGE(D17,E17)</f>
        <v>102.94999999999999</v>
      </c>
      <c r="G17" s="13">
        <v>103.44</v>
      </c>
      <c r="H17" s="345">
        <v>36936285</v>
      </c>
      <c r="I17" s="45">
        <v>0</v>
      </c>
      <c r="J17" s="45">
        <f>(412176+377)*1000</f>
        <v>412553000</v>
      </c>
      <c r="K17" t="s">
        <v>6</v>
      </c>
    </row>
    <row r="18" spans="1:12" ht="15.75">
      <c r="A18" s="24" t="s">
        <v>435</v>
      </c>
      <c r="B18" s="2" t="s">
        <v>436</v>
      </c>
      <c r="C18" s="13" t="s">
        <v>434</v>
      </c>
      <c r="D18" s="13">
        <v>189.65</v>
      </c>
      <c r="E18" s="13">
        <v>187.49</v>
      </c>
      <c r="F18" s="43">
        <f t="shared" ref="F18:F23" si="0">AVERAGE(D18,E18)</f>
        <v>188.57</v>
      </c>
      <c r="G18" s="13">
        <v>188.86</v>
      </c>
      <c r="H18" s="346">
        <f>186880413-5269324</f>
        <v>181611089</v>
      </c>
      <c r="I18" s="45">
        <v>0</v>
      </c>
      <c r="J18" s="347">
        <f>10344000000+57000000</f>
        <v>10401000000</v>
      </c>
    </row>
    <row r="19" spans="1:12" ht="15.75">
      <c r="A19" s="24" t="s">
        <v>437</v>
      </c>
      <c r="B19" s="13" t="s">
        <v>438</v>
      </c>
      <c r="C19" s="13" t="s">
        <v>434</v>
      </c>
      <c r="D19" s="13">
        <v>72.08</v>
      </c>
      <c r="E19" s="13">
        <v>70.760000000000005</v>
      </c>
      <c r="F19" s="43">
        <f t="shared" si="0"/>
        <v>71.42</v>
      </c>
      <c r="G19" s="43">
        <v>71.86</v>
      </c>
      <c r="H19" s="45">
        <v>53716000</v>
      </c>
      <c r="I19" s="45">
        <v>0</v>
      </c>
      <c r="J19" s="45">
        <f>1055794000+5192000</f>
        <v>1060986000</v>
      </c>
    </row>
    <row r="20" spans="1:12" ht="15.75">
      <c r="A20" s="102" t="s">
        <v>439</v>
      </c>
      <c r="B20" s="13" t="s">
        <v>440</v>
      </c>
      <c r="C20" s="13" t="s">
        <v>434</v>
      </c>
      <c r="D20" s="13">
        <v>53.93</v>
      </c>
      <c r="E20" s="43">
        <v>53.37</v>
      </c>
      <c r="F20" s="43">
        <f>AVERAGE(D20,E20)</f>
        <v>53.65</v>
      </c>
      <c r="G20" s="43">
        <v>53.69</v>
      </c>
      <c r="H20" s="45">
        <f>256102388-3234765</f>
        <v>252867623</v>
      </c>
      <c r="I20" s="45">
        <v>0</v>
      </c>
      <c r="J20" s="348">
        <f>(5815211+132146)*1000</f>
        <v>5947357000</v>
      </c>
      <c r="K20" t="s">
        <v>6</v>
      </c>
    </row>
    <row r="21" spans="1:12" ht="15.75">
      <c r="A21" s="160" t="s">
        <v>441</v>
      </c>
      <c r="B21" s="13" t="s">
        <v>442</v>
      </c>
      <c r="C21" s="13" t="s">
        <v>434</v>
      </c>
      <c r="D21" s="13">
        <v>121.43</v>
      </c>
      <c r="E21" s="43">
        <v>118.66</v>
      </c>
      <c r="F21" s="43">
        <f t="shared" si="0"/>
        <v>120.045</v>
      </c>
      <c r="G21" s="13">
        <v>120.3</v>
      </c>
      <c r="H21" s="139">
        <v>17522000</v>
      </c>
      <c r="I21" s="45">
        <v>2084000</v>
      </c>
      <c r="J21" s="139">
        <f>311146000+6731000</f>
        <v>317877000</v>
      </c>
    </row>
    <row r="22" spans="1:12" ht="15.75">
      <c r="A22" s="24" t="s">
        <v>443</v>
      </c>
      <c r="B22" s="2" t="s">
        <v>444</v>
      </c>
      <c r="C22" s="13" t="s">
        <v>434</v>
      </c>
      <c r="D22" s="13">
        <v>73.47</v>
      </c>
      <c r="E22" s="13">
        <v>72.209999999999994</v>
      </c>
      <c r="F22" s="43">
        <f t="shared" si="0"/>
        <v>72.84</v>
      </c>
      <c r="G22" s="13">
        <v>73.2</v>
      </c>
      <c r="H22" s="139">
        <v>30181348</v>
      </c>
      <c r="I22" s="45">
        <v>0</v>
      </c>
      <c r="J22" s="45">
        <f>1492935000+39106000</f>
        <v>1532041000</v>
      </c>
    </row>
    <row r="23" spans="1:12" ht="15.75">
      <c r="A23" s="24" t="s">
        <v>445</v>
      </c>
      <c r="B23" s="13" t="s">
        <v>446</v>
      </c>
      <c r="C23" s="13" t="s">
        <v>434</v>
      </c>
      <c r="D23" s="43">
        <v>49.89</v>
      </c>
      <c r="E23" s="43">
        <v>49.03</v>
      </c>
      <c r="F23" s="43">
        <f t="shared" si="0"/>
        <v>49.46</v>
      </c>
      <c r="G23" s="43">
        <v>49.78</v>
      </c>
      <c r="H23" s="139">
        <v>13112948</v>
      </c>
      <c r="I23" s="45">
        <v>0</v>
      </c>
      <c r="J23" s="45">
        <f>138869000+7500000</f>
        <v>146369000</v>
      </c>
      <c r="K23" t="s">
        <v>6</v>
      </c>
    </row>
    <row r="24" spans="1:12" ht="15.75">
      <c r="A24" s="47" t="s">
        <v>6</v>
      </c>
      <c r="B24" s="349" t="s">
        <v>6</v>
      </c>
      <c r="C24" s="349" t="s">
        <v>6</v>
      </c>
      <c r="D24" s="349"/>
      <c r="E24" s="349"/>
      <c r="F24" s="349"/>
      <c r="G24" s="350" t="s">
        <v>6</v>
      </c>
      <c r="H24" s="47"/>
      <c r="I24" s="47"/>
      <c r="J24" s="47"/>
    </row>
    <row r="25" spans="1:12" ht="16.5" thickBo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2" ht="15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2" ht="15.75">
      <c r="A27" s="22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2" ht="15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 t="s">
        <v>6</v>
      </c>
      <c r="L28" s="47"/>
    </row>
    <row r="29" spans="1:12" ht="15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5.75">
      <c r="A30" s="36"/>
      <c r="B30" s="36"/>
      <c r="C30" s="36"/>
      <c r="D30" s="35" t="s">
        <v>23</v>
      </c>
      <c r="E30" s="35" t="s">
        <v>23</v>
      </c>
      <c r="F30" s="35" t="s">
        <v>23</v>
      </c>
      <c r="G30" s="35" t="s">
        <v>23</v>
      </c>
      <c r="H30" s="35" t="s">
        <v>23</v>
      </c>
      <c r="I30" s="35" t="s">
        <v>23</v>
      </c>
      <c r="L30" s="47"/>
    </row>
    <row r="31" spans="1:12" ht="15.75">
      <c r="A31" s="36" t="s">
        <v>6</v>
      </c>
      <c r="B31" s="36" t="s">
        <v>26</v>
      </c>
      <c r="C31" s="36" t="s">
        <v>27</v>
      </c>
      <c r="D31" s="36" t="s">
        <v>25</v>
      </c>
      <c r="E31" s="36" t="s">
        <v>31</v>
      </c>
      <c r="F31" s="38" t="s">
        <v>213</v>
      </c>
      <c r="G31" s="38" t="s">
        <v>48</v>
      </c>
      <c r="H31" s="38" t="s">
        <v>49</v>
      </c>
      <c r="I31" s="38" t="s">
        <v>214</v>
      </c>
      <c r="L31" s="47"/>
    </row>
    <row r="32" spans="1:12" ht="16.5" thickBot="1">
      <c r="A32" s="39" t="s">
        <v>33</v>
      </c>
      <c r="B32" s="39" t="s">
        <v>34</v>
      </c>
      <c r="C32" s="39" t="s">
        <v>35</v>
      </c>
      <c r="D32" s="39" t="s">
        <v>51</v>
      </c>
      <c r="E32" s="39" t="s">
        <v>51</v>
      </c>
      <c r="F32" s="39" t="s">
        <v>51</v>
      </c>
      <c r="G32" s="39" t="s">
        <v>52</v>
      </c>
      <c r="H32" s="39" t="s">
        <v>6</v>
      </c>
      <c r="I32" s="39" t="s">
        <v>6</v>
      </c>
      <c r="L32" s="47"/>
    </row>
    <row r="33" spans="1:12" ht="15.75">
      <c r="A33" s="41" t="s">
        <v>40</v>
      </c>
      <c r="B33" s="41" t="s">
        <v>40</v>
      </c>
      <c r="C33" s="41" t="s">
        <v>40</v>
      </c>
      <c r="D33" s="41" t="s">
        <v>53</v>
      </c>
      <c r="E33" s="41" t="s">
        <v>42</v>
      </c>
      <c r="F33" s="41" t="s">
        <v>42</v>
      </c>
      <c r="G33" s="41" t="s">
        <v>53</v>
      </c>
      <c r="H33" s="41" t="s">
        <v>53</v>
      </c>
      <c r="I33" s="41" t="s">
        <v>53</v>
      </c>
      <c r="L33" s="47"/>
    </row>
    <row r="34" spans="1:12" ht="15.75">
      <c r="A34" s="36"/>
      <c r="B34" s="36"/>
      <c r="C34" s="36"/>
      <c r="D34" s="47"/>
      <c r="E34" s="47"/>
      <c r="F34" s="42"/>
      <c r="G34" s="42"/>
      <c r="H34" s="42"/>
      <c r="I34" s="42"/>
      <c r="L34" s="47"/>
    </row>
    <row r="35" spans="1:12" ht="15.75">
      <c r="A35" s="102" t="str">
        <f t="shared" ref="A35:C41" si="1">+A17</f>
        <v>American States Water Company</v>
      </c>
      <c r="B35" s="13" t="str">
        <f t="shared" si="1"/>
        <v>AWR</v>
      </c>
      <c r="C35" s="13" t="str">
        <f t="shared" si="1"/>
        <v>Water Utility</v>
      </c>
      <c r="D35" s="95">
        <f t="shared" ref="D35:D41" si="2">+G17*H17</f>
        <v>3820689320.4000001</v>
      </c>
      <c r="E35" s="96">
        <f>(1/1)*I17</f>
        <v>0</v>
      </c>
      <c r="F35" s="45">
        <f>(490852/415788)*J17</f>
        <v>487032971.50470918</v>
      </c>
      <c r="G35" s="139">
        <f>+D35+E35+F35</f>
        <v>4307722291.9047089</v>
      </c>
      <c r="H35" s="11">
        <f>(+D35)/G35</f>
        <v>0.88693956144295427</v>
      </c>
      <c r="I35" s="11">
        <f>(E35+F35)/G35</f>
        <v>0.11306043855704588</v>
      </c>
      <c r="L35" s="47"/>
    </row>
    <row r="36" spans="1:12" ht="15.75">
      <c r="A36" s="102" t="str">
        <f t="shared" si="1"/>
        <v>American Water Works Company Inc</v>
      </c>
      <c r="B36" s="13" t="str">
        <f t="shared" si="1"/>
        <v>AWK</v>
      </c>
      <c r="C36" s="13" t="str">
        <f t="shared" si="1"/>
        <v>Water Utility</v>
      </c>
      <c r="D36" s="95">
        <f t="shared" si="2"/>
        <v>34299070268.540001</v>
      </c>
      <c r="E36" s="96">
        <f>(15/12)*I18</f>
        <v>0</v>
      </c>
      <c r="F36" s="45">
        <f>(11818/10396)*J18</f>
        <v>11823683916.891113</v>
      </c>
      <c r="G36" s="139">
        <f t="shared" ref="G36:G41" si="3">+D36+E36+F36</f>
        <v>46122754185.431114</v>
      </c>
      <c r="H36" s="11">
        <f t="shared" ref="H36:H41" si="4">(+D36)/G36</f>
        <v>0.74364748754258292</v>
      </c>
      <c r="I36" s="11">
        <f t="shared" ref="I36:I41" si="5">(E36+F36)/G36</f>
        <v>0.25635251245741703</v>
      </c>
      <c r="L36" s="47"/>
    </row>
    <row r="37" spans="1:12" ht="15.75">
      <c r="A37" s="102" t="str">
        <f t="shared" si="1"/>
        <v xml:space="preserve">California Water Service Group </v>
      </c>
      <c r="B37" s="13" t="str">
        <f t="shared" si="1"/>
        <v>CWT</v>
      </c>
      <c r="C37" s="13" t="str">
        <f t="shared" si="1"/>
        <v>Water Utility</v>
      </c>
      <c r="D37" s="95">
        <f t="shared" si="2"/>
        <v>3860031760</v>
      </c>
      <c r="E37" s="96">
        <f>(1/1)*I19</f>
        <v>0</v>
      </c>
      <c r="F37" s="45">
        <f>(1338831/1060986)*J19</f>
        <v>1338831000</v>
      </c>
      <c r="G37" s="139">
        <f t="shared" si="3"/>
        <v>5198862760</v>
      </c>
      <c r="H37" s="11">
        <f t="shared" si="4"/>
        <v>0.74247617954046552</v>
      </c>
      <c r="I37" s="11">
        <f t="shared" si="5"/>
        <v>0.25752382045953448</v>
      </c>
      <c r="L37" s="47"/>
    </row>
    <row r="38" spans="1:12" ht="15.75">
      <c r="A38" s="102" t="str">
        <f t="shared" si="1"/>
        <v>Essential Utilities, Inc.</v>
      </c>
      <c r="B38" s="13" t="str">
        <f t="shared" si="1"/>
        <v>WTRG</v>
      </c>
      <c r="C38" s="13" t="str">
        <f t="shared" si="1"/>
        <v>Water Utility</v>
      </c>
      <c r="D38" s="95">
        <f>+G20*H20</f>
        <v>13576462678.869999</v>
      </c>
      <c r="E38" s="96">
        <f>(1/1)*I20</f>
        <v>0</v>
      </c>
      <c r="F38" s="45">
        <f>(6482499/5947357)*J20</f>
        <v>6482499000</v>
      </c>
      <c r="G38" s="139">
        <f t="shared" si="3"/>
        <v>20058961678.869999</v>
      </c>
      <c r="H38" s="11">
        <f t="shared" si="4"/>
        <v>0.67682778880680405</v>
      </c>
      <c r="I38" s="11">
        <f t="shared" si="5"/>
        <v>0.32317221119319595</v>
      </c>
      <c r="L38" s="47"/>
    </row>
    <row r="39" spans="1:12" ht="15.75">
      <c r="A39" s="102" t="str">
        <f t="shared" si="1"/>
        <v>Middlesex Water Company</v>
      </c>
      <c r="B39" s="13" t="str">
        <f t="shared" si="1"/>
        <v>MSEX</v>
      </c>
      <c r="C39" s="13" t="str">
        <f t="shared" si="1"/>
        <v>Water Utility</v>
      </c>
      <c r="D39" s="95">
        <f t="shared" si="2"/>
        <v>2107896600</v>
      </c>
      <c r="E39" s="96">
        <f t="shared" ref="E39:E41" si="6">(1/1)*I21</f>
        <v>2084000</v>
      </c>
      <c r="F39" s="45">
        <f>(107781/98828)*J21</f>
        <v>346674028.98975998</v>
      </c>
      <c r="G39" s="139">
        <f t="shared" si="3"/>
        <v>2456654628.9897599</v>
      </c>
      <c r="H39" s="11">
        <f t="shared" si="4"/>
        <v>0.858035384838292</v>
      </c>
      <c r="I39" s="11">
        <f t="shared" si="5"/>
        <v>0.14196461516170808</v>
      </c>
      <c r="L39" s="47"/>
    </row>
    <row r="40" spans="1:12" ht="15.75">
      <c r="A40" s="102" t="str">
        <f t="shared" si="1"/>
        <v>SJW Corporation</v>
      </c>
      <c r="B40" s="13" t="str">
        <f t="shared" si="1"/>
        <v>SJW</v>
      </c>
      <c r="C40" s="13" t="str">
        <f t="shared" si="1"/>
        <v>Water Utility</v>
      </c>
      <c r="D40" s="95">
        <f t="shared" si="2"/>
        <v>2209274673.5999999</v>
      </c>
      <c r="E40" s="96">
        <f t="shared" si="6"/>
        <v>0</v>
      </c>
      <c r="F40" s="45">
        <v>1651825000</v>
      </c>
      <c r="G40" s="139">
        <f t="shared" si="3"/>
        <v>3861099673.5999999</v>
      </c>
      <c r="H40" s="11">
        <f t="shared" si="4"/>
        <v>0.5721879413540556</v>
      </c>
      <c r="I40" s="11">
        <f t="shared" si="5"/>
        <v>0.4278120586459444</v>
      </c>
      <c r="L40" s="47"/>
    </row>
    <row r="41" spans="1:12" ht="15.75">
      <c r="A41" s="102" t="str">
        <f t="shared" si="1"/>
        <v>The York Water Company</v>
      </c>
      <c r="B41" s="13" t="str">
        <f t="shared" si="1"/>
        <v>YORW</v>
      </c>
      <c r="C41" s="13" t="str">
        <f t="shared" si="1"/>
        <v>Water Utility</v>
      </c>
      <c r="D41" s="95">
        <f t="shared" si="2"/>
        <v>652762551.44000006</v>
      </c>
      <c r="E41" s="96">
        <f t="shared" si="6"/>
        <v>0</v>
      </c>
      <c r="F41" s="45">
        <f>(168000/149190)*J23</f>
        <v>164823325.96018499</v>
      </c>
      <c r="G41" s="139">
        <f t="shared" si="3"/>
        <v>817585877.40018511</v>
      </c>
      <c r="H41" s="11">
        <f t="shared" si="4"/>
        <v>0.79840243023240398</v>
      </c>
      <c r="I41" s="11">
        <f t="shared" si="5"/>
        <v>0.20159756976759599</v>
      </c>
      <c r="L41" s="47"/>
    </row>
    <row r="42" spans="1:12" ht="16.5" thickBot="1">
      <c r="A42" s="46"/>
      <c r="B42" s="46"/>
      <c r="C42" s="46"/>
      <c r="D42" s="46"/>
      <c r="E42" s="46"/>
      <c r="F42" s="46"/>
      <c r="G42" s="46"/>
      <c r="H42" s="46"/>
      <c r="I42" s="46"/>
      <c r="L42" s="47"/>
    </row>
    <row r="45" spans="1:12" ht="15.75">
      <c r="C45" s="56" t="s">
        <v>6</v>
      </c>
      <c r="D45" s="77" t="s">
        <v>6</v>
      </c>
      <c r="F45" s="77" t="s">
        <v>6</v>
      </c>
      <c r="G45" s="351" t="s">
        <v>54</v>
      </c>
      <c r="H45" s="54" t="s">
        <v>447</v>
      </c>
      <c r="I45" s="54" t="s">
        <v>448</v>
      </c>
    </row>
    <row r="46" spans="1:12" ht="15.75">
      <c r="C46" s="56" t="s">
        <v>6</v>
      </c>
      <c r="D46" s="57" t="s">
        <v>6</v>
      </c>
      <c r="F46" s="22" t="s">
        <v>6</v>
      </c>
      <c r="G46" s="351" t="s">
        <v>58</v>
      </c>
      <c r="H46" s="11">
        <f>MEDIAN(H35:H41)</f>
        <v>0.74364748754258292</v>
      </c>
      <c r="I46" s="11">
        <f>MEDIAN(I35:I41)</f>
        <v>0.25635251245741703</v>
      </c>
    </row>
    <row r="47" spans="1:12" ht="15.75">
      <c r="C47" s="56" t="s">
        <v>6</v>
      </c>
      <c r="D47" s="57" t="s">
        <v>6</v>
      </c>
      <c r="F47" s="22" t="s">
        <v>6</v>
      </c>
      <c r="G47" s="351" t="s">
        <v>29</v>
      </c>
      <c r="H47" s="11">
        <f>AVERAGE(H35:H41)</f>
        <v>0.75407382482250829</v>
      </c>
      <c r="I47" s="11">
        <f>AVERAGE(I35:I41)</f>
        <v>0.24592617517749168</v>
      </c>
    </row>
    <row r="48" spans="1:12" ht="15.75">
      <c r="G48" s="24"/>
      <c r="H48" s="380" t="s">
        <v>6</v>
      </c>
      <c r="I48" s="381"/>
    </row>
    <row r="49" spans="7:9" ht="21">
      <c r="G49" s="278" t="s">
        <v>20</v>
      </c>
      <c r="H49" s="59">
        <v>0.74</v>
      </c>
      <c r="I49" s="59">
        <v>0.26</v>
      </c>
    </row>
    <row r="50" spans="7:9" ht="15.75">
      <c r="H50" s="24"/>
      <c r="I50" s="24"/>
    </row>
  </sheetData>
  <mergeCells count="1">
    <mergeCell ref="H48:I48"/>
  </mergeCells>
  <pageMargins left="0.25" right="0.25" top="0.75" bottom="0.75" header="0.3" footer="0.3"/>
  <pageSetup scale="46" orientation="landscape" r:id="rId1"/>
  <colBreaks count="1" manualBreakCount="1">
    <brk id="12" max="6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BD53-AF87-4407-89DC-3FF892B67190}">
  <sheetPr codeName="Sheet6">
    <pageSetUpPr fitToPage="1"/>
  </sheetPr>
  <dimension ref="A1:G24"/>
  <sheetViews>
    <sheetView topLeftCell="A7" zoomScaleNormal="100" workbookViewId="0"/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91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  <c r="G14" s="3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G16" s="8" t="s">
        <v>6</v>
      </c>
    </row>
    <row r="17" spans="1:7">
      <c r="A17" s="3"/>
      <c r="B17" s="3"/>
      <c r="C17" s="3"/>
      <c r="D17" s="3"/>
      <c r="E17" s="3"/>
      <c r="F17" s="3"/>
      <c r="G17" s="3"/>
    </row>
    <row r="18" spans="1:7" ht="15.75">
      <c r="A18" s="2" t="s">
        <v>17</v>
      </c>
      <c r="B18" s="9">
        <f>'[1]S&amp;D_AC P Delta'!I33</f>
        <v>0.41</v>
      </c>
      <c r="C18" s="10">
        <f>'[1]CF Multiples_AC P Delta'!F22</f>
        <v>0.23669999999999999</v>
      </c>
      <c r="D18" s="2" t="s">
        <v>6</v>
      </c>
      <c r="E18" s="10">
        <f>+C18</f>
        <v>0.23669999999999999</v>
      </c>
      <c r="F18" s="11">
        <f>+E18*B18</f>
        <v>9.7046999999999994E-2</v>
      </c>
      <c r="G18" s="12" t="s">
        <v>6</v>
      </c>
    </row>
    <row r="19" spans="1:7" ht="15.75">
      <c r="A19" s="2" t="s">
        <v>6</v>
      </c>
      <c r="B19" s="13" t="s">
        <v>6</v>
      </c>
      <c r="C19" s="2" t="s">
        <v>6</v>
      </c>
      <c r="D19" s="2" t="s">
        <v>6</v>
      </c>
      <c r="E19" s="14" t="s">
        <v>6</v>
      </c>
      <c r="F19" s="15" t="s">
        <v>6</v>
      </c>
      <c r="G19" s="12" t="s">
        <v>6</v>
      </c>
    </row>
    <row r="20" spans="1:7" ht="15.75">
      <c r="A20" s="2" t="s">
        <v>18</v>
      </c>
      <c r="B20" s="9">
        <f>'[1]S&amp;D_AC P Delta'!J33</f>
        <v>0.59</v>
      </c>
      <c r="C20" s="9">
        <f>'[1]Debt_AC P Delta'!I17</f>
        <v>3.3500000000000002E-2</v>
      </c>
      <c r="D20" s="16">
        <v>0.26</v>
      </c>
      <c r="E20" s="10">
        <f>+C20*(1-D20)</f>
        <v>2.479E-2</v>
      </c>
      <c r="F20" s="11">
        <f>+B20*E20</f>
        <v>1.46261E-2</v>
      </c>
      <c r="G20" s="12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0.1116731</v>
      </c>
      <c r="G22" s="12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4" t="s">
        <v>20</v>
      </c>
      <c r="F24" s="11">
        <v>0.11169999999999999</v>
      </c>
    </row>
  </sheetData>
  <pageMargins left="0.25" right="0.25" top="0.75" bottom="0.75" header="0.3" footer="0.3"/>
  <pageSetup scale="83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4DF0-34B1-457D-896A-4B037A069F08}">
  <sheetPr codeName="Sheet75">
    <pageSetUpPr fitToPage="1"/>
  </sheetPr>
  <dimension ref="A1:M24"/>
  <sheetViews>
    <sheetView topLeftCell="A2" zoomScaleNormal="100" workbookViewId="0">
      <selection activeCell="L12" sqref="L12"/>
    </sheetView>
  </sheetViews>
  <sheetFormatPr defaultRowHeight="15"/>
  <cols>
    <col min="1" max="1" width="39.85546875" customWidth="1"/>
    <col min="2" max="2" width="10.85546875" bestFit="1" customWidth="1"/>
    <col min="3" max="3" width="18" customWidth="1"/>
    <col min="4" max="4" width="13" customWidth="1"/>
    <col min="5" max="5" width="14" bestFit="1" customWidth="1"/>
    <col min="6" max="6" width="9.28515625" bestFit="1" customWidth="1"/>
    <col min="7" max="7" width="9.7109375" bestFit="1" customWidth="1"/>
    <col min="8" max="8" width="15" customWidth="1"/>
    <col min="9" max="9" width="14.85546875" customWidth="1"/>
    <col min="10" max="10" width="14.5703125" customWidth="1"/>
  </cols>
  <sheetData>
    <row r="1" spans="1:13" ht="21">
      <c r="A1" s="23" t="s">
        <v>0</v>
      </c>
    </row>
    <row r="2" spans="1:13" ht="15.75">
      <c r="A2" s="24" t="s">
        <v>1</v>
      </c>
    </row>
    <row r="3" spans="1:13">
      <c r="A3" s="22" t="s">
        <v>2</v>
      </c>
    </row>
    <row r="5" spans="1:13" ht="15.75">
      <c r="A5" s="66" t="s">
        <v>430</v>
      </c>
    </row>
    <row r="6" spans="1:13" ht="15.75" thickBot="1">
      <c r="A6" s="67" t="s">
        <v>6</v>
      </c>
      <c r="B6" s="67" t="s">
        <v>6</v>
      </c>
      <c r="C6" s="67" t="s">
        <v>6</v>
      </c>
      <c r="D6" s="67"/>
      <c r="E6" s="67"/>
      <c r="F6" s="67"/>
      <c r="G6" s="67" t="s">
        <v>6</v>
      </c>
      <c r="H6" s="67" t="s">
        <v>6</v>
      </c>
      <c r="I6" s="67" t="s">
        <v>6</v>
      </c>
    </row>
    <row r="7" spans="1:13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449</v>
      </c>
      <c r="H7" s="3" t="s">
        <v>75</v>
      </c>
      <c r="I7" s="3" t="s">
        <v>75</v>
      </c>
    </row>
    <row r="8" spans="1:13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3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450</v>
      </c>
      <c r="I9" s="8" t="s">
        <v>450</v>
      </c>
    </row>
    <row r="10" spans="1:13">
      <c r="A10" s="3"/>
      <c r="B10" s="3"/>
      <c r="C10" s="3"/>
      <c r="D10" s="3"/>
      <c r="E10" s="3"/>
      <c r="F10" s="3"/>
      <c r="G10" s="3"/>
      <c r="H10" s="3"/>
      <c r="I10" s="3"/>
    </row>
    <row r="12" spans="1:13">
      <c r="A12" s="22" t="s">
        <v>432</v>
      </c>
      <c r="B12" s="3" t="s">
        <v>433</v>
      </c>
      <c r="C12" s="3" t="s">
        <v>434</v>
      </c>
      <c r="D12" s="68">
        <v>0.65</v>
      </c>
      <c r="E12" s="71">
        <v>0.23499999999999999</v>
      </c>
      <c r="F12" s="3" t="s">
        <v>218</v>
      </c>
      <c r="G12" s="68" t="s">
        <v>152</v>
      </c>
      <c r="H12" s="68" t="s">
        <v>153</v>
      </c>
      <c r="I12" s="69">
        <v>3.0200000000000001E-2</v>
      </c>
      <c r="J12" t="s">
        <v>6</v>
      </c>
    </row>
    <row r="13" spans="1:13">
      <c r="A13" s="22" t="s">
        <v>435</v>
      </c>
      <c r="B13" s="3" t="s">
        <v>436</v>
      </c>
      <c r="C13" s="3" t="s">
        <v>434</v>
      </c>
      <c r="D13" s="68">
        <v>0.85</v>
      </c>
      <c r="E13" s="71">
        <v>0.17499999999999999</v>
      </c>
      <c r="F13" s="3" t="s">
        <v>80</v>
      </c>
      <c r="G13" s="68" t="s">
        <v>218</v>
      </c>
      <c r="H13" s="68" t="s">
        <v>114</v>
      </c>
      <c r="I13" s="69">
        <v>3.3500000000000002E-2</v>
      </c>
      <c r="J13" t="s">
        <v>6</v>
      </c>
    </row>
    <row r="14" spans="1:13">
      <c r="A14" s="22" t="s">
        <v>437</v>
      </c>
      <c r="B14" s="3" t="s">
        <v>438</v>
      </c>
      <c r="C14" s="3" t="s">
        <v>434</v>
      </c>
      <c r="D14" s="68">
        <v>0.7</v>
      </c>
      <c r="E14" s="71">
        <v>0.21</v>
      </c>
      <c r="F14" s="3" t="s">
        <v>80</v>
      </c>
      <c r="G14" s="104" t="s">
        <v>152</v>
      </c>
      <c r="H14" s="68" t="s">
        <v>153</v>
      </c>
      <c r="I14" s="69">
        <v>3.0200000000000001E-2</v>
      </c>
      <c r="J14" t="s">
        <v>6</v>
      </c>
    </row>
    <row r="15" spans="1:13">
      <c r="A15" s="102" t="s">
        <v>439</v>
      </c>
      <c r="B15" s="70" t="s">
        <v>440</v>
      </c>
      <c r="C15" s="70" t="s">
        <v>434</v>
      </c>
      <c r="D15" s="68">
        <v>0.95</v>
      </c>
      <c r="E15" s="71">
        <v>0.03</v>
      </c>
      <c r="F15" s="70" t="s">
        <v>78</v>
      </c>
      <c r="G15" s="104" t="s">
        <v>127</v>
      </c>
      <c r="H15" s="68" t="s">
        <v>146</v>
      </c>
      <c r="I15" s="69">
        <v>3.3500000000000002E-2</v>
      </c>
      <c r="J15" t="s">
        <v>6</v>
      </c>
    </row>
    <row r="16" spans="1:13">
      <c r="A16" s="22" t="s">
        <v>441</v>
      </c>
      <c r="B16" s="3" t="s">
        <v>442</v>
      </c>
      <c r="C16" s="3" t="s">
        <v>434</v>
      </c>
      <c r="D16" s="68">
        <v>0.7</v>
      </c>
      <c r="E16" s="71">
        <v>0.21</v>
      </c>
      <c r="F16" s="3" t="s">
        <v>80</v>
      </c>
      <c r="G16" s="68" t="s">
        <v>218</v>
      </c>
      <c r="H16" s="104" t="s">
        <v>153</v>
      </c>
      <c r="I16" s="69">
        <v>3.0200000000000001E-2</v>
      </c>
      <c r="J16" t="s">
        <v>6</v>
      </c>
      <c r="M16" t="s">
        <v>6</v>
      </c>
    </row>
    <row r="17" spans="1:10">
      <c r="A17" s="22" t="s">
        <v>443</v>
      </c>
      <c r="B17" s="3" t="s">
        <v>444</v>
      </c>
      <c r="C17" s="3" t="s">
        <v>434</v>
      </c>
      <c r="D17" s="68">
        <v>0.8</v>
      </c>
      <c r="E17" s="71">
        <v>0.21</v>
      </c>
      <c r="F17" s="3" t="s">
        <v>78</v>
      </c>
      <c r="G17" s="104" t="s">
        <v>451</v>
      </c>
      <c r="H17" s="104" t="s">
        <v>452</v>
      </c>
      <c r="I17" s="69">
        <v>3.0200000000000001E-2</v>
      </c>
      <c r="J17" t="s">
        <v>6</v>
      </c>
    </row>
    <row r="18" spans="1:10">
      <c r="A18" s="22" t="s">
        <v>445</v>
      </c>
      <c r="B18" s="3" t="s">
        <v>446</v>
      </c>
      <c r="C18" s="3" t="s">
        <v>434</v>
      </c>
      <c r="D18" s="68">
        <v>0.85</v>
      </c>
      <c r="E18" s="71">
        <v>0.21</v>
      </c>
      <c r="F18" s="3" t="s">
        <v>78</v>
      </c>
      <c r="G18" s="68" t="s">
        <v>219</v>
      </c>
      <c r="H18" s="104" t="s">
        <v>223</v>
      </c>
      <c r="I18" s="69">
        <v>3.0200000000000001E-2</v>
      </c>
      <c r="J18" t="s">
        <v>6</v>
      </c>
    </row>
    <row r="19" spans="1:10" ht="15.75" thickBot="1">
      <c r="C19" s="22"/>
      <c r="D19" s="73"/>
      <c r="E19" s="73"/>
      <c r="F19" s="73"/>
      <c r="G19" s="73"/>
      <c r="H19" s="73"/>
      <c r="I19" s="73"/>
    </row>
    <row r="20" spans="1:10" ht="15.75" thickTop="1">
      <c r="C20" s="77" t="s">
        <v>54</v>
      </c>
      <c r="D20" s="77" t="s">
        <v>453</v>
      </c>
      <c r="E20" s="77" t="s">
        <v>454</v>
      </c>
      <c r="F20" s="77"/>
      <c r="I20" s="77" t="s">
        <v>311</v>
      </c>
    </row>
    <row r="21" spans="1:10">
      <c r="C21" s="77" t="s">
        <v>58</v>
      </c>
      <c r="D21" s="186">
        <f>MEDIAN(D12:D18)</f>
        <v>0.8</v>
      </c>
      <c r="E21" s="12">
        <f>MEDIAN(E12:E18)</f>
        <v>0.21</v>
      </c>
      <c r="F21" s="77"/>
      <c r="I21" s="12">
        <f>MEDIAN(I12:I18)</f>
        <v>3.0200000000000001E-2</v>
      </c>
    </row>
    <row r="22" spans="1:10">
      <c r="C22" s="77" t="s">
        <v>29</v>
      </c>
      <c r="D22" s="186">
        <f>SUM(D12:D18)/6</f>
        <v>0.91666666666666663</v>
      </c>
      <c r="E22" s="236">
        <f>SUM(E12:E18)/6</f>
        <v>0.21333333333333335</v>
      </c>
      <c r="F22" s="77"/>
      <c r="I22" s="12">
        <f>AVERAGE(I12:I18)</f>
        <v>3.1142857142857146E-2</v>
      </c>
    </row>
    <row r="24" spans="1:10" ht="21">
      <c r="H24" s="58" t="s">
        <v>20</v>
      </c>
      <c r="I24" s="105">
        <v>3.0200000000000001E-2</v>
      </c>
      <c r="J24" s="152" t="s">
        <v>6</v>
      </c>
    </row>
  </sheetData>
  <pageMargins left="0.25" right="0.25" top="0.75" bottom="0.75" header="0.3" footer="0.3"/>
  <pageSetup scale="81" orientation="landscape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889F-9FD2-4143-84E1-EBA9E09C2C67}">
  <sheetPr codeName="Sheet76">
    <pageSetUpPr fitToPage="1"/>
  </sheetPr>
  <dimension ref="A1:L36"/>
  <sheetViews>
    <sheetView topLeftCell="A8" zoomScale="90" zoomScaleNormal="90" workbookViewId="0">
      <selection activeCell="L12" sqref="L12"/>
    </sheetView>
  </sheetViews>
  <sheetFormatPr defaultRowHeight="15"/>
  <cols>
    <col min="1" max="1" width="36.85546875" customWidth="1"/>
    <col min="2" max="2" width="12.28515625" bestFit="1" customWidth="1"/>
    <col min="3" max="3" width="12.7109375" bestFit="1" customWidth="1"/>
    <col min="4" max="4" width="15.85546875" customWidth="1"/>
    <col min="5" max="5" width="12.5703125" customWidth="1"/>
    <col min="6" max="6" width="14.28515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66" t="s">
        <v>430</v>
      </c>
    </row>
    <row r="6" spans="1:12" ht="15.75">
      <c r="A6" s="66"/>
    </row>
    <row r="7" spans="1:12" ht="18.75">
      <c r="A7" s="66"/>
      <c r="D7" s="84" t="s">
        <v>83</v>
      </c>
    </row>
    <row r="8" spans="1:12" ht="18.75">
      <c r="A8" s="66"/>
      <c r="D8" s="84" t="s">
        <v>84</v>
      </c>
    </row>
    <row r="9" spans="1:12" ht="15.75">
      <c r="A9" s="66"/>
      <c r="D9" s="257"/>
    </row>
    <row r="10" spans="1:12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12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12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12">
      <c r="A13" s="8" t="s">
        <v>6</v>
      </c>
      <c r="B13" s="8" t="s">
        <v>6</v>
      </c>
      <c r="C13" s="8" t="s">
        <v>40</v>
      </c>
      <c r="D13" s="154" t="s">
        <v>147</v>
      </c>
      <c r="E13" s="8" t="s">
        <v>6</v>
      </c>
      <c r="F13" s="8" t="s">
        <v>6</v>
      </c>
    </row>
    <row r="14" spans="1:12">
      <c r="A14" s="3"/>
      <c r="B14" s="3"/>
      <c r="C14" s="3"/>
      <c r="D14" s="3"/>
      <c r="E14" s="3"/>
      <c r="F14" s="3"/>
    </row>
    <row r="15" spans="1:12">
      <c r="L15" s="182" t="s">
        <v>6</v>
      </c>
    </row>
    <row r="16" spans="1:12">
      <c r="A16" s="22" t="s">
        <v>432</v>
      </c>
      <c r="B16" s="3" t="s">
        <v>433</v>
      </c>
      <c r="C16" s="70">
        <f>'[10]S&amp;D'!G17</f>
        <v>103.44</v>
      </c>
      <c r="D16" s="68">
        <v>3.5</v>
      </c>
      <c r="E16" s="86">
        <f t="shared" ref="E16:E22" si="0">C16/D16</f>
        <v>29.554285714285715</v>
      </c>
      <c r="F16" s="12">
        <f t="shared" ref="F16:F22" si="1">1/E16</f>
        <v>3.3836040216550657E-2</v>
      </c>
      <c r="L16" s="182" t="s">
        <v>6</v>
      </c>
    </row>
    <row r="17" spans="1:12">
      <c r="A17" s="22" t="s">
        <v>435</v>
      </c>
      <c r="B17" s="3" t="s">
        <v>436</v>
      </c>
      <c r="C17" s="70">
        <f>'[10]S&amp;D'!G18</f>
        <v>188.86</v>
      </c>
      <c r="D17" s="68">
        <v>7.8</v>
      </c>
      <c r="E17" s="86">
        <f t="shared" si="0"/>
        <v>24.212820512820514</v>
      </c>
      <c r="F17" s="12">
        <f t="shared" si="1"/>
        <v>4.1300434184051674E-2</v>
      </c>
      <c r="L17" s="182" t="s">
        <v>6</v>
      </c>
    </row>
    <row r="18" spans="1:12">
      <c r="A18" s="22" t="s">
        <v>437</v>
      </c>
      <c r="B18" s="3" t="s">
        <v>438</v>
      </c>
      <c r="C18" s="70">
        <f>'[10]S&amp;D'!G19</f>
        <v>71.86</v>
      </c>
      <c r="D18" s="68">
        <v>3.8</v>
      </c>
      <c r="E18" s="86">
        <f t="shared" si="0"/>
        <v>18.910526315789475</v>
      </c>
      <c r="F18" s="12">
        <f t="shared" si="1"/>
        <v>5.2880601168939598E-2</v>
      </c>
      <c r="L18" s="182" t="s">
        <v>6</v>
      </c>
    </row>
    <row r="19" spans="1:12">
      <c r="A19" s="102" t="s">
        <v>439</v>
      </c>
      <c r="B19" s="70" t="s">
        <v>440</v>
      </c>
      <c r="C19" s="70">
        <f>'[10]S&amp;D'!G20</f>
        <v>53.69</v>
      </c>
      <c r="D19" s="68">
        <v>2.7</v>
      </c>
      <c r="E19" s="68">
        <f>C19/D19</f>
        <v>19.885185185185183</v>
      </c>
      <c r="F19" s="69">
        <f>1/E19</f>
        <v>5.0288694356490971E-2</v>
      </c>
      <c r="L19" s="182"/>
    </row>
    <row r="20" spans="1:12">
      <c r="A20" s="22" t="s">
        <v>441</v>
      </c>
      <c r="B20" s="3" t="s">
        <v>442</v>
      </c>
      <c r="C20" s="68">
        <f>'[10]S&amp;D'!G21</f>
        <v>120.3</v>
      </c>
      <c r="D20" s="68">
        <v>3.1</v>
      </c>
      <c r="E20" s="86">
        <f t="shared" si="0"/>
        <v>38.806451612903224</v>
      </c>
      <c r="F20" s="12">
        <f t="shared" si="1"/>
        <v>2.5768911055694101E-2</v>
      </c>
      <c r="L20" s="182" t="s">
        <v>6</v>
      </c>
    </row>
    <row r="21" spans="1:12">
      <c r="A21" s="22" t="s">
        <v>455</v>
      </c>
      <c r="B21" s="3" t="s">
        <v>444</v>
      </c>
      <c r="C21" s="68">
        <f>'[10]S&amp;D'!G22</f>
        <v>73.2</v>
      </c>
      <c r="D21" s="68">
        <v>3.55</v>
      </c>
      <c r="E21" s="86">
        <f t="shared" si="0"/>
        <v>20.619718309859156</v>
      </c>
      <c r="F21" s="12">
        <f t="shared" si="1"/>
        <v>4.849726775956284E-2</v>
      </c>
      <c r="L21" s="182" t="s">
        <v>6</v>
      </c>
    </row>
    <row r="22" spans="1:12">
      <c r="A22" s="22" t="s">
        <v>445</v>
      </c>
      <c r="B22" s="3" t="s">
        <v>446</v>
      </c>
      <c r="C22" s="70">
        <f>'[10]S&amp;D'!G23</f>
        <v>49.78</v>
      </c>
      <c r="D22" s="68">
        <v>1.95</v>
      </c>
      <c r="E22" s="86">
        <f t="shared" si="0"/>
        <v>25.52820512820513</v>
      </c>
      <c r="F22" s="12">
        <f t="shared" si="1"/>
        <v>3.9172358376858174E-2</v>
      </c>
      <c r="L22" s="182" t="s">
        <v>6</v>
      </c>
    </row>
    <row r="23" spans="1:12" ht="15.75" thickBot="1">
      <c r="B23" s="76"/>
      <c r="C23" s="73"/>
      <c r="D23" s="73"/>
      <c r="E23" s="73"/>
      <c r="F23" s="73"/>
    </row>
    <row r="24" spans="1:12" ht="15.75" thickTop="1">
      <c r="B24" s="77" t="s">
        <v>54</v>
      </c>
      <c r="C24" s="234" t="s">
        <v>456</v>
      </c>
      <c r="D24" s="234" t="s">
        <v>457</v>
      </c>
      <c r="E24" s="234" t="s">
        <v>458</v>
      </c>
      <c r="F24" s="234" t="s">
        <v>459</v>
      </c>
    </row>
    <row r="25" spans="1:12">
      <c r="B25" s="77" t="s">
        <v>58</v>
      </c>
      <c r="C25" s="155">
        <f>MEDIAN(C16:C22)</f>
        <v>73.2</v>
      </c>
      <c r="D25" s="155">
        <f>MEDIAN(D16:D22)</f>
        <v>3.5</v>
      </c>
      <c r="E25" s="185">
        <f>MEDIAN(E16:E22)</f>
        <v>24.212820512820514</v>
      </c>
      <c r="F25" s="109">
        <f>MEDIAN(F16:F22)</f>
        <v>4.1300434184051674E-2</v>
      </c>
    </row>
    <row r="26" spans="1:12">
      <c r="B26" s="77" t="s">
        <v>29</v>
      </c>
      <c r="C26" s="185">
        <f>AVERAGE(C16:C22)</f>
        <v>94.44714285714285</v>
      </c>
      <c r="D26" s="352">
        <f>AVERAGE(D16:D22)</f>
        <v>3.7714285714285718</v>
      </c>
      <c r="E26" s="185">
        <f>AVERAGE(E16:E22)</f>
        <v>25.359598968435485</v>
      </c>
      <c r="F26" s="353">
        <f>AVERAGE(F16:F22)</f>
        <v>4.1677758159735435E-2</v>
      </c>
    </row>
    <row r="27" spans="1:12" ht="15.75">
      <c r="B27" s="354"/>
      <c r="C27" s="354"/>
      <c r="D27" s="354"/>
      <c r="E27" s="354"/>
      <c r="F27" s="354"/>
      <c r="G27" s="354"/>
      <c r="H27" s="354"/>
      <c r="I27" s="354"/>
    </row>
    <row r="28" spans="1:12" ht="21">
      <c r="E28" s="58" t="s">
        <v>20</v>
      </c>
      <c r="F28" s="105">
        <v>4.1300000000000003E-2</v>
      </c>
    </row>
    <row r="30" spans="1:12">
      <c r="A30" s="342" t="s">
        <v>460</v>
      </c>
      <c r="B30" s="260"/>
    </row>
    <row r="31" spans="1:12">
      <c r="A31" s="261"/>
      <c r="B31" s="260"/>
    </row>
    <row r="32" spans="1:12">
      <c r="A32" s="261"/>
      <c r="B32" s="261"/>
    </row>
    <row r="36" spans="2:3">
      <c r="B36" s="85"/>
      <c r="C36" s="85"/>
    </row>
  </sheetData>
  <pageMargins left="0.25" right="0.25" top="0.75" bottom="0.75" header="0.3" footer="0.3"/>
  <pageSetup scale="71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6203B-B937-4696-88E7-7C2694DD6AC2}">
  <sheetPr codeName="Sheet79"/>
  <dimension ref="A1:N25"/>
  <sheetViews>
    <sheetView topLeftCell="A3" zoomScale="90" zoomScaleNormal="90" workbookViewId="0">
      <selection activeCell="L12" sqref="L12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14" ht="21">
      <c r="C1" s="1" t="s">
        <v>0</v>
      </c>
    </row>
    <row r="2" spans="1:14" ht="15.75">
      <c r="C2" s="2" t="s">
        <v>1</v>
      </c>
    </row>
    <row r="4" spans="1:14">
      <c r="C4" s="3" t="s">
        <v>2</v>
      </c>
    </row>
    <row r="5" spans="1:14">
      <c r="C5" s="3" t="s">
        <v>3</v>
      </c>
    </row>
    <row r="8" spans="1:14">
      <c r="D8" s="4"/>
    </row>
    <row r="10" spans="1:14" ht="15.75" thickBot="1">
      <c r="B10" s="5"/>
      <c r="C10" s="5"/>
      <c r="D10" s="5"/>
    </row>
    <row r="11" spans="1:14" ht="21">
      <c r="C11" s="6" t="s">
        <v>461</v>
      </c>
    </row>
    <row r="12" spans="1:14" ht="15.75" thickBot="1">
      <c r="B12" s="5"/>
      <c r="C12" s="7" t="s">
        <v>5</v>
      </c>
      <c r="D12" s="5"/>
    </row>
    <row r="13" spans="1:14" ht="15.75" thickBot="1">
      <c r="A13" s="5"/>
      <c r="B13" s="5"/>
      <c r="C13" s="7" t="s">
        <v>6</v>
      </c>
      <c r="D13" s="5"/>
      <c r="E13" s="5"/>
      <c r="F13" s="5"/>
    </row>
    <row r="14" spans="1:14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3" t="s">
        <v>12</v>
      </c>
    </row>
    <row r="15" spans="1:14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14">
      <c r="A16" s="8" t="s">
        <v>6</v>
      </c>
      <c r="B16" s="8" t="s">
        <v>6</v>
      </c>
      <c r="C16" s="8" t="s">
        <v>6</v>
      </c>
      <c r="D16" s="8" t="s">
        <v>6</v>
      </c>
      <c r="E16" s="8" t="s">
        <v>6</v>
      </c>
      <c r="F16" s="8" t="s">
        <v>6</v>
      </c>
      <c r="N16" t="s">
        <v>6</v>
      </c>
    </row>
    <row r="17" spans="1:14">
      <c r="A17" s="3"/>
      <c r="B17" s="3"/>
      <c r="C17" s="3"/>
      <c r="D17" s="3"/>
      <c r="E17" s="3"/>
      <c r="F17" s="3"/>
      <c r="N17" t="s">
        <v>6</v>
      </c>
    </row>
    <row r="18" spans="1:14" ht="15.75">
      <c r="A18" s="2" t="s">
        <v>17</v>
      </c>
      <c r="B18" s="9">
        <f>+'[11]S&amp;D'!I45</f>
        <v>0.81</v>
      </c>
      <c r="C18" s="10">
        <f>+'[11]CF Multiples'!F26</f>
        <v>5.5599999999999997E-2</v>
      </c>
      <c r="D18" s="2" t="s">
        <v>177</v>
      </c>
      <c r="E18" s="10">
        <f>+C18</f>
        <v>5.5599999999999997E-2</v>
      </c>
      <c r="F18" s="11">
        <f>+E18*B18</f>
        <v>4.5036E-2</v>
      </c>
      <c r="N18" t="s">
        <v>6</v>
      </c>
    </row>
    <row r="19" spans="1:14" ht="15.75">
      <c r="A19" s="2" t="s">
        <v>6</v>
      </c>
      <c r="B19" s="2"/>
      <c r="C19" s="2" t="s">
        <v>6</v>
      </c>
      <c r="D19" s="2" t="s">
        <v>6</v>
      </c>
      <c r="E19" s="14" t="s">
        <v>6</v>
      </c>
      <c r="F19" s="15" t="s">
        <v>6</v>
      </c>
      <c r="N19" t="s">
        <v>6</v>
      </c>
    </row>
    <row r="20" spans="1:14" ht="15.75">
      <c r="A20" s="2" t="s">
        <v>18</v>
      </c>
      <c r="B20" s="9">
        <f>+'[11]S&amp;D'!J45</f>
        <v>0.19</v>
      </c>
      <c r="C20" s="9">
        <f>+[11]Debt!I21</f>
        <v>3.3500000000000002E-2</v>
      </c>
      <c r="D20" s="9">
        <v>0.26</v>
      </c>
      <c r="E20" s="10">
        <f>+C20*(1-D20)</f>
        <v>2.479E-2</v>
      </c>
      <c r="F20" s="11">
        <f>+B20*E20</f>
        <v>4.7101000000000001E-3</v>
      </c>
      <c r="N20" t="s">
        <v>6</v>
      </c>
    </row>
    <row r="21" spans="1:14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N21" t="s">
        <v>6</v>
      </c>
    </row>
    <row r="22" spans="1:14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4" t="s">
        <v>6</v>
      </c>
      <c r="F22" s="11">
        <f>+F18+F20</f>
        <v>4.9746100000000001E-2</v>
      </c>
    </row>
    <row r="23" spans="1:14" ht="15.75">
      <c r="A23" s="24"/>
      <c r="B23" s="24"/>
      <c r="C23" s="24"/>
      <c r="D23" s="24"/>
      <c r="E23" s="24"/>
      <c r="F23" s="24"/>
    </row>
    <row r="24" spans="1:14" ht="15.75">
      <c r="E24" s="14" t="s">
        <v>20</v>
      </c>
      <c r="F24" s="11">
        <v>4.9700000000000001E-2</v>
      </c>
    </row>
    <row r="25" spans="1:14" ht="15.75">
      <c r="E25" s="14"/>
      <c r="F25" s="15"/>
    </row>
  </sheetData>
  <pageMargins left="0.25" right="0.25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24FD-6A3E-49F9-A5EC-8130823FC749}">
  <sheetPr codeName="Sheet80">
    <pageSetUpPr fitToPage="1"/>
  </sheetPr>
  <dimension ref="A1:N52"/>
  <sheetViews>
    <sheetView topLeftCell="A5" zoomScaleNormal="80" zoomScalePageLayoutView="70" workbookViewId="0">
      <pane xSplit="1" topLeftCell="B1" activePane="topRight" state="frozen"/>
      <selection activeCell="L12" sqref="L12"/>
      <selection pane="topRight" activeCell="L12" sqref="L12"/>
    </sheetView>
  </sheetViews>
  <sheetFormatPr defaultRowHeight="15"/>
  <cols>
    <col min="1" max="1" width="60" customWidth="1"/>
    <col min="2" max="2" width="10.85546875" bestFit="1" customWidth="1"/>
    <col min="3" max="3" width="16.85546875" customWidth="1"/>
    <col min="4" max="4" width="19.5703125" customWidth="1"/>
    <col min="5" max="5" width="20" bestFit="1" customWidth="1"/>
    <col min="6" max="6" width="21.7109375" customWidth="1"/>
    <col min="7" max="7" width="23" customWidth="1"/>
    <col min="8" max="8" width="28.85546875" customWidth="1"/>
    <col min="9" max="9" width="28.7109375" customWidth="1"/>
    <col min="10" max="10" width="28.140625" customWidth="1"/>
    <col min="11" max="11" width="26.42578125" customWidth="1"/>
    <col min="12" max="12" width="30.140625" bestFit="1" customWidth="1"/>
    <col min="13" max="13" width="9.1406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E4" s="4"/>
      <c r="J4" t="s">
        <v>6</v>
      </c>
    </row>
    <row r="6" spans="1:10">
      <c r="A6" s="25" t="s">
        <v>21</v>
      </c>
    </row>
    <row r="10" spans="1:10" ht="15.75" thickBot="1"/>
    <row r="11" spans="1:10" ht="20.25">
      <c r="A11" s="30" t="s">
        <v>462</v>
      </c>
      <c r="B11" s="28"/>
      <c r="C11" s="28"/>
      <c r="I11" s="28"/>
      <c r="J11" s="28"/>
    </row>
    <row r="12" spans="1:10" ht="15.75" thickBot="1">
      <c r="A12" s="31" t="s">
        <v>6</v>
      </c>
      <c r="B12" s="32" t="s">
        <v>6</v>
      </c>
      <c r="C12" s="32" t="s">
        <v>6</v>
      </c>
      <c r="D12" s="32"/>
      <c r="E12" s="32"/>
      <c r="F12" s="32"/>
      <c r="G12" s="32" t="s">
        <v>6</v>
      </c>
      <c r="H12" s="33"/>
      <c r="I12" s="33"/>
      <c r="J12" s="33"/>
    </row>
    <row r="13" spans="1:10" ht="15.75">
      <c r="A13" s="34"/>
      <c r="B13" s="34"/>
      <c r="C13" s="34"/>
      <c r="D13" s="34"/>
      <c r="E13" s="34"/>
      <c r="F13" s="34"/>
      <c r="G13" s="34"/>
      <c r="H13" s="35" t="s">
        <v>23</v>
      </c>
      <c r="I13" s="35" t="s">
        <v>6</v>
      </c>
      <c r="J13" s="28"/>
    </row>
    <row r="14" spans="1:10" ht="15.75">
      <c r="A14" s="36"/>
      <c r="B14" s="36"/>
      <c r="C14" s="36"/>
      <c r="D14" s="37" t="s">
        <v>24</v>
      </c>
      <c r="E14" s="37" t="s">
        <v>24</v>
      </c>
      <c r="F14" s="37" t="s">
        <v>24</v>
      </c>
      <c r="G14" s="36"/>
      <c r="H14" s="36" t="s">
        <v>25</v>
      </c>
      <c r="I14" s="35" t="s">
        <v>23</v>
      </c>
      <c r="J14" s="35" t="s">
        <v>23</v>
      </c>
    </row>
    <row r="15" spans="1:10" ht="15.75">
      <c r="A15" s="36" t="s">
        <v>6</v>
      </c>
      <c r="B15" s="36" t="s">
        <v>26</v>
      </c>
      <c r="C15" s="36" t="s">
        <v>27</v>
      </c>
      <c r="D15" s="37" t="s">
        <v>28</v>
      </c>
      <c r="E15" s="37" t="s">
        <v>28</v>
      </c>
      <c r="F15" s="37" t="s">
        <v>29</v>
      </c>
      <c r="G15" s="35" t="s">
        <v>23</v>
      </c>
      <c r="H15" s="36" t="s">
        <v>30</v>
      </c>
      <c r="I15" s="36" t="s">
        <v>31</v>
      </c>
      <c r="J15" s="38" t="s">
        <v>47</v>
      </c>
    </row>
    <row r="16" spans="1:10" ht="16.5" thickBot="1">
      <c r="A16" s="39" t="s">
        <v>33</v>
      </c>
      <c r="B16" s="39" t="s">
        <v>34</v>
      </c>
      <c r="C16" s="39" t="s">
        <v>35</v>
      </c>
      <c r="D16" s="39" t="s">
        <v>36</v>
      </c>
      <c r="E16" s="39" t="s">
        <v>37</v>
      </c>
      <c r="F16" s="39" t="s">
        <v>28</v>
      </c>
      <c r="G16" s="39" t="s">
        <v>28</v>
      </c>
      <c r="H16" s="40" t="s">
        <v>149</v>
      </c>
      <c r="I16" s="40" t="s">
        <v>155</v>
      </c>
      <c r="J16" s="40" t="s">
        <v>155</v>
      </c>
    </row>
    <row r="17" spans="1:14" ht="15.75">
      <c r="A17" s="41" t="s">
        <v>40</v>
      </c>
      <c r="B17" s="41" t="s">
        <v>40</v>
      </c>
      <c r="C17" s="41" t="s">
        <v>40</v>
      </c>
      <c r="D17" s="41" t="s">
        <v>40</v>
      </c>
      <c r="E17" s="41" t="s">
        <v>40</v>
      </c>
      <c r="F17" s="41" t="s">
        <v>40</v>
      </c>
      <c r="G17" s="41" t="s">
        <v>40</v>
      </c>
      <c r="H17" s="41" t="s">
        <v>42</v>
      </c>
      <c r="I17" s="41" t="s">
        <v>42</v>
      </c>
      <c r="J17" s="41" t="s">
        <v>463</v>
      </c>
      <c r="L17" s="36" t="s">
        <v>6</v>
      </c>
      <c r="N17" t="s">
        <v>6</v>
      </c>
    </row>
    <row r="18" spans="1:14" ht="15.75">
      <c r="A18" s="24" t="s">
        <v>464</v>
      </c>
      <c r="B18" s="2" t="s">
        <v>465</v>
      </c>
      <c r="C18" s="2" t="s">
        <v>466</v>
      </c>
      <c r="D18" s="14">
        <v>123.27</v>
      </c>
      <c r="E18" s="14">
        <v>121.53</v>
      </c>
      <c r="F18" s="43">
        <f>AVERAGE(D18,E18)</f>
        <v>122.4</v>
      </c>
      <c r="G18" s="43">
        <v>122.86</v>
      </c>
      <c r="H18" s="355">
        <v>701957766</v>
      </c>
      <c r="I18" s="24">
        <v>0</v>
      </c>
      <c r="J18" s="96">
        <f>((508+11977)*1000000)*0.79111</f>
        <v>9877008350</v>
      </c>
      <c r="L18" s="147" t="s">
        <v>6</v>
      </c>
      <c r="N18" t="s">
        <v>6</v>
      </c>
    </row>
    <row r="19" spans="1:14" ht="15.75">
      <c r="A19" s="24" t="s">
        <v>467</v>
      </c>
      <c r="B19" s="2" t="s">
        <v>468</v>
      </c>
      <c r="C19" s="2" t="s">
        <v>466</v>
      </c>
      <c r="D19" s="43">
        <v>72.209999999999994</v>
      </c>
      <c r="E19" s="13">
        <v>71.41</v>
      </c>
      <c r="F19" s="43">
        <f t="shared" ref="F19:F22" si="0">AVERAGE(D19,E19)</f>
        <v>71.81</v>
      </c>
      <c r="G19" s="43">
        <v>71.94</v>
      </c>
      <c r="H19" s="45">
        <v>929700000</v>
      </c>
      <c r="I19" s="45">
        <v>0</v>
      </c>
      <c r="J19" s="45">
        <f>((1550+18577)*1000000)*0.79111</f>
        <v>15922670970</v>
      </c>
      <c r="L19" s="356" t="s">
        <v>6</v>
      </c>
      <c r="M19" t="s">
        <v>6</v>
      </c>
      <c r="N19" t="s">
        <v>6</v>
      </c>
    </row>
    <row r="20" spans="1:14" ht="15.75">
      <c r="A20" s="24" t="s">
        <v>469</v>
      </c>
      <c r="B20" s="2" t="s">
        <v>470</v>
      </c>
      <c r="C20" s="13" t="s">
        <v>466</v>
      </c>
      <c r="D20" s="43">
        <v>37.82</v>
      </c>
      <c r="E20" s="13">
        <v>37.159999999999997</v>
      </c>
      <c r="F20" s="43">
        <f t="shared" si="0"/>
        <v>37.489999999999995</v>
      </c>
      <c r="G20" s="43">
        <v>37.6</v>
      </c>
      <c r="H20" s="45">
        <f>(2201787)*1000</f>
        <v>2201787000</v>
      </c>
      <c r="I20" s="45">
        <v>0</v>
      </c>
      <c r="J20" s="45">
        <f>(181+16185)*1000000</f>
        <v>16366000000</v>
      </c>
      <c r="L20" s="148" t="s">
        <v>6</v>
      </c>
      <c r="M20" t="s">
        <v>6</v>
      </c>
      <c r="N20" s="45" t="s">
        <v>6</v>
      </c>
    </row>
    <row r="21" spans="1:14" ht="15.75">
      <c r="A21" s="24" t="s">
        <v>471</v>
      </c>
      <c r="B21" s="2" t="s">
        <v>472</v>
      </c>
      <c r="C21" s="2" t="s">
        <v>466</v>
      </c>
      <c r="D21" s="43">
        <v>299.2</v>
      </c>
      <c r="E21" s="13">
        <v>293.32</v>
      </c>
      <c r="F21" s="43">
        <f t="shared" si="0"/>
        <v>296.26</v>
      </c>
      <c r="G21" s="43">
        <v>297.70999999999998</v>
      </c>
      <c r="H21" s="45">
        <v>240162790</v>
      </c>
      <c r="I21" s="45">
        <v>0</v>
      </c>
      <c r="J21" s="45">
        <f>(553+13287)*1000000</f>
        <v>13840000000</v>
      </c>
      <c r="L21" s="45" t="s">
        <v>6</v>
      </c>
      <c r="N21" s="357"/>
    </row>
    <row r="22" spans="1:14" ht="15.75">
      <c r="A22" s="24" t="s">
        <v>473</v>
      </c>
      <c r="B22" s="2" t="s">
        <v>474</v>
      </c>
      <c r="C22" s="2" t="s">
        <v>466</v>
      </c>
      <c r="D22" s="43">
        <v>251.77</v>
      </c>
      <c r="E22" s="13">
        <v>197.29</v>
      </c>
      <c r="F22" s="43">
        <f t="shared" si="0"/>
        <v>224.53</v>
      </c>
      <c r="G22" s="43">
        <v>251.77</v>
      </c>
      <c r="H22" s="45">
        <v>638841656</v>
      </c>
      <c r="I22" s="45">
        <v>0</v>
      </c>
      <c r="J22" s="45">
        <f>(2166+27563)*1000000</f>
        <v>29729000000</v>
      </c>
      <c r="N22" s="45"/>
    </row>
    <row r="23" spans="1:14" ht="15.75">
      <c r="A23" s="47" t="s">
        <v>6</v>
      </c>
      <c r="B23" s="349" t="s">
        <v>6</v>
      </c>
      <c r="C23" s="349" t="s">
        <v>6</v>
      </c>
      <c r="D23" s="349"/>
      <c r="E23" s="349"/>
      <c r="F23" s="349"/>
      <c r="G23" s="350" t="s">
        <v>6</v>
      </c>
      <c r="H23" s="47"/>
      <c r="I23" s="47"/>
      <c r="J23" s="47"/>
      <c r="N23" s="357"/>
    </row>
    <row r="24" spans="1:14" ht="16.5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4" ht="15.7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4" ht="15.75">
      <c r="A26" s="47"/>
      <c r="B26" s="47"/>
      <c r="C26" s="47"/>
      <c r="D26" s="47"/>
      <c r="E26" s="47" t="s">
        <v>6</v>
      </c>
      <c r="F26" s="47" t="s">
        <v>6</v>
      </c>
      <c r="G26" s="47" t="s">
        <v>6</v>
      </c>
      <c r="H26" s="358" t="s">
        <v>6</v>
      </c>
      <c r="I26" s="47" t="s">
        <v>6</v>
      </c>
      <c r="L26" s="47"/>
    </row>
    <row r="27" spans="1:14" ht="15.75">
      <c r="A27" s="47"/>
      <c r="B27" s="47"/>
      <c r="C27" s="47"/>
      <c r="D27" s="47"/>
      <c r="E27" s="47"/>
      <c r="F27" s="47" t="s">
        <v>6</v>
      </c>
      <c r="G27" s="136" t="s">
        <v>6</v>
      </c>
      <c r="H27" s="47"/>
      <c r="I27" s="47" t="s">
        <v>6</v>
      </c>
      <c r="K27" s="47"/>
      <c r="L27" s="47"/>
    </row>
    <row r="28" spans="1:14" ht="15.75">
      <c r="A28" s="47"/>
      <c r="B28" s="47"/>
      <c r="C28" s="47"/>
      <c r="D28" s="47"/>
      <c r="F28" s="47"/>
      <c r="G28" s="136" t="s">
        <v>6</v>
      </c>
      <c r="H28" s="47"/>
      <c r="I28" s="47"/>
      <c r="J28" s="47" t="s">
        <v>6</v>
      </c>
      <c r="K28" s="47"/>
      <c r="L28" s="47"/>
    </row>
    <row r="29" spans="1:14" ht="15.75">
      <c r="A29" s="36"/>
      <c r="B29" s="36"/>
      <c r="C29" s="36"/>
      <c r="D29" s="35" t="s">
        <v>23</v>
      </c>
      <c r="E29" s="35" t="s">
        <v>23</v>
      </c>
      <c r="F29" s="35"/>
      <c r="G29" s="35" t="s">
        <v>23</v>
      </c>
      <c r="H29" s="35" t="s">
        <v>23</v>
      </c>
      <c r="I29" s="35" t="s">
        <v>23</v>
      </c>
      <c r="J29" s="35" t="s">
        <v>23</v>
      </c>
      <c r="L29" s="47"/>
    </row>
    <row r="30" spans="1:14" ht="15.75">
      <c r="A30" s="36" t="s">
        <v>6</v>
      </c>
      <c r="B30" s="36" t="s">
        <v>26</v>
      </c>
      <c r="C30" s="36" t="s">
        <v>27</v>
      </c>
      <c r="D30" s="36" t="s">
        <v>25</v>
      </c>
      <c r="E30" s="36" t="s">
        <v>475</v>
      </c>
      <c r="F30" s="36"/>
      <c r="G30" s="38" t="s">
        <v>213</v>
      </c>
      <c r="H30" s="38" t="s">
        <v>48</v>
      </c>
      <c r="I30" s="38" t="s">
        <v>49</v>
      </c>
      <c r="J30" s="38" t="s">
        <v>214</v>
      </c>
      <c r="L30" s="47" t="s">
        <v>6</v>
      </c>
    </row>
    <row r="31" spans="1:14" ht="16.5" thickBot="1">
      <c r="A31" s="39" t="s">
        <v>33</v>
      </c>
      <c r="B31" s="39" t="s">
        <v>34</v>
      </c>
      <c r="C31" s="39" t="s">
        <v>35</v>
      </c>
      <c r="D31" s="39" t="s">
        <v>51</v>
      </c>
      <c r="E31" s="39" t="s">
        <v>51</v>
      </c>
      <c r="F31" s="39"/>
      <c r="G31" s="39" t="s">
        <v>51</v>
      </c>
      <c r="H31" s="39" t="s">
        <v>52</v>
      </c>
      <c r="I31" s="39" t="s">
        <v>6</v>
      </c>
      <c r="J31" s="39" t="s">
        <v>6</v>
      </c>
    </row>
    <row r="32" spans="1:14" ht="15.75">
      <c r="A32" s="41" t="s">
        <v>40</v>
      </c>
      <c r="B32" s="41" t="s">
        <v>40</v>
      </c>
      <c r="C32" s="41" t="s">
        <v>40</v>
      </c>
      <c r="D32" s="41" t="s">
        <v>53</v>
      </c>
      <c r="E32" s="41" t="s">
        <v>42</v>
      </c>
      <c r="F32" s="41"/>
      <c r="G32" s="41" t="s">
        <v>42</v>
      </c>
      <c r="H32" s="41" t="s">
        <v>53</v>
      </c>
      <c r="I32" s="41" t="s">
        <v>53</v>
      </c>
      <c r="J32" s="41" t="s">
        <v>53</v>
      </c>
    </row>
    <row r="33" spans="1:12" ht="15.75">
      <c r="A33" s="359" t="str">
        <f t="shared" ref="A33:C37" si="1">+A18</f>
        <v>Canadian National</v>
      </c>
      <c r="B33" s="2" t="str">
        <f t="shared" si="1"/>
        <v>CNI</v>
      </c>
      <c r="C33" s="2" t="str">
        <f t="shared" si="1"/>
        <v>Railroad</v>
      </c>
      <c r="D33" s="96">
        <f>(H18)*G18</f>
        <v>86242531130.759995</v>
      </c>
      <c r="E33" s="96">
        <f>(1/1)*I18</f>
        <v>0</v>
      </c>
      <c r="F33" s="95">
        <v>0</v>
      </c>
      <c r="G33" s="45">
        <f>(14424/12475)*J18</f>
        <v>11420117710.653305</v>
      </c>
      <c r="H33" s="139">
        <f>+D33+E33+F33+G33</f>
        <v>97662648841.4133</v>
      </c>
      <c r="I33" s="11">
        <f t="shared" ref="I33:I37" si="2">(+D33)/H33</f>
        <v>0.88306565666473436</v>
      </c>
      <c r="J33" s="11">
        <f>(E33+F33+G33)/H33</f>
        <v>0.11693434333526563</v>
      </c>
    </row>
    <row r="34" spans="1:12" ht="15.75">
      <c r="A34" s="359" t="str">
        <f t="shared" si="1"/>
        <v>Canadian Pacific</v>
      </c>
      <c r="B34" s="2" t="str">
        <f t="shared" si="1"/>
        <v>CP</v>
      </c>
      <c r="C34" s="2" t="str">
        <f t="shared" si="1"/>
        <v>Railroad</v>
      </c>
      <c r="D34" s="96">
        <f>(H19)*G19</f>
        <v>66882618000</v>
      </c>
      <c r="E34" s="96">
        <f>(1/1)*I19</f>
        <v>0</v>
      </c>
      <c r="F34" s="95">
        <v>0</v>
      </c>
      <c r="G34" s="45">
        <f>(21265/19151)*J19</f>
        <v>17680309027.050804</v>
      </c>
      <c r="H34" s="139">
        <f t="shared" ref="H34:H37" si="3">+D34+E34+F34+G34</f>
        <v>84562927027.050812</v>
      </c>
      <c r="I34" s="11">
        <f t="shared" si="2"/>
        <v>0.7909212742672086</v>
      </c>
      <c r="J34" s="11">
        <f t="shared" ref="J34:J37" si="4">(E34+F34+G34)/H34</f>
        <v>0.20907872573279132</v>
      </c>
    </row>
    <row r="35" spans="1:12" ht="15.75">
      <c r="A35" s="359" t="str">
        <f t="shared" si="1"/>
        <v>CSX Corp</v>
      </c>
      <c r="B35" s="2" t="str">
        <f t="shared" si="1"/>
        <v>CSX</v>
      </c>
      <c r="C35" s="2" t="str">
        <f t="shared" si="1"/>
        <v>Railroad</v>
      </c>
      <c r="D35" s="96">
        <f>(H20)*G20</f>
        <v>82787191200</v>
      </c>
      <c r="E35" s="96">
        <f>(1/1)*I20</f>
        <v>0</v>
      </c>
      <c r="F35" s="95">
        <v>0</v>
      </c>
      <c r="G35" s="45">
        <f>(19439/16366)*J20</f>
        <v>19439000000</v>
      </c>
      <c r="H35" s="139">
        <f t="shared" si="3"/>
        <v>102226191200</v>
      </c>
      <c r="I35" s="11">
        <f t="shared" si="2"/>
        <v>0.80984325277297431</v>
      </c>
      <c r="J35" s="11">
        <f t="shared" si="4"/>
        <v>0.19015674722702572</v>
      </c>
      <c r="L35" t="s">
        <v>6</v>
      </c>
    </row>
    <row r="36" spans="1:12" ht="15.75">
      <c r="A36" s="359" t="str">
        <f t="shared" si="1"/>
        <v>Norfolk Southern</v>
      </c>
      <c r="B36" s="2" t="str">
        <f t="shared" si="1"/>
        <v>NSC</v>
      </c>
      <c r="C36" s="2" t="str">
        <f t="shared" si="1"/>
        <v>Railroad</v>
      </c>
      <c r="D36" s="96">
        <f t="shared" ref="D36:D37" si="5">(H21)*G21</f>
        <v>71498864210.899994</v>
      </c>
      <c r="E36" s="96">
        <f>(1/1)*I21</f>
        <v>0</v>
      </c>
      <c r="F36" s="95">
        <v>0</v>
      </c>
      <c r="G36" s="45">
        <f>(17033/13840)*J21</f>
        <v>17033000000</v>
      </c>
      <c r="H36" s="139">
        <f t="shared" si="3"/>
        <v>88531864210.899994</v>
      </c>
      <c r="I36" s="11">
        <f t="shared" si="2"/>
        <v>0.80760599416020307</v>
      </c>
      <c r="J36" s="11">
        <f t="shared" si="4"/>
        <v>0.19239400583979691</v>
      </c>
      <c r="L36" t="s">
        <v>6</v>
      </c>
    </row>
    <row r="37" spans="1:12" ht="15.75">
      <c r="A37" s="359" t="str">
        <f t="shared" si="1"/>
        <v>Union Pacific Railroad</v>
      </c>
      <c r="B37" s="2" t="str">
        <f t="shared" si="1"/>
        <v>UNP</v>
      </c>
      <c r="C37" s="2" t="str">
        <f t="shared" si="1"/>
        <v>Railroad</v>
      </c>
      <c r="D37" s="96">
        <f t="shared" si="5"/>
        <v>160841163731.12</v>
      </c>
      <c r="E37" s="96">
        <f>(1/1)*I22</f>
        <v>0</v>
      </c>
      <c r="F37" s="95">
        <v>0</v>
      </c>
      <c r="G37" s="45">
        <f>(32.9/(32.9-3.2))*J22</f>
        <v>32932124579.124577</v>
      </c>
      <c r="H37" s="139">
        <f t="shared" si="3"/>
        <v>193773288310.24457</v>
      </c>
      <c r="I37" s="11">
        <f t="shared" si="2"/>
        <v>0.8300481719317373</v>
      </c>
      <c r="J37" s="11">
        <f t="shared" si="4"/>
        <v>0.16995182806826267</v>
      </c>
    </row>
    <row r="38" spans="1:12" ht="16.5" thickBot="1">
      <c r="A38" s="46"/>
      <c r="B38" s="46"/>
      <c r="C38" s="46"/>
      <c r="D38" s="46"/>
      <c r="E38" s="46" t="s">
        <v>6</v>
      </c>
      <c r="F38" s="5"/>
      <c r="G38" s="46"/>
      <c r="H38" s="46"/>
      <c r="I38" s="46"/>
      <c r="J38" s="46"/>
    </row>
    <row r="40" spans="1:12">
      <c r="A40" t="s">
        <v>248</v>
      </c>
      <c r="F40" s="360" t="s">
        <v>6</v>
      </c>
    </row>
    <row r="41" spans="1:12" ht="15.75">
      <c r="E41" s="233"/>
      <c r="F41" s="361"/>
      <c r="G41" s="77" t="s">
        <v>6</v>
      </c>
      <c r="H41" s="54" t="s">
        <v>54</v>
      </c>
      <c r="I41" s="54" t="s">
        <v>476</v>
      </c>
      <c r="J41" s="54" t="s">
        <v>477</v>
      </c>
    </row>
    <row r="42" spans="1:12" ht="15.75">
      <c r="D42" s="362"/>
      <c r="E42" s="363"/>
      <c r="F42" s="363"/>
      <c r="G42" s="364" t="s">
        <v>6</v>
      </c>
      <c r="H42" s="54" t="s">
        <v>58</v>
      </c>
      <c r="I42" s="11">
        <f>MEDIAN(I33:I37)</f>
        <v>0.80984325277297431</v>
      </c>
      <c r="J42" s="11">
        <f>MEDIAN(J33:J37)</f>
        <v>0.19015674722702572</v>
      </c>
    </row>
    <row r="43" spans="1:12" ht="15.75">
      <c r="A43" s="85"/>
      <c r="E43" s="363"/>
      <c r="F43" s="363"/>
      <c r="G43" s="22" t="s">
        <v>6</v>
      </c>
      <c r="H43" s="54" t="s">
        <v>29</v>
      </c>
      <c r="I43" s="11">
        <f>AVERAGE(I33:I37)</f>
        <v>0.82429686995937157</v>
      </c>
      <c r="J43" s="11">
        <f>AVERAGE(J33:J37)</f>
        <v>0.17570313004062846</v>
      </c>
    </row>
    <row r="44" spans="1:12" ht="15.75">
      <c r="A44" s="25"/>
      <c r="E44" s="363"/>
      <c r="F44" s="365">
        <f>722000000/19439000000</f>
        <v>3.7141828283347909E-2</v>
      </c>
      <c r="H44" s="24"/>
      <c r="I44" s="24"/>
      <c r="J44" s="24"/>
    </row>
    <row r="45" spans="1:12" ht="21">
      <c r="E45" s="363"/>
      <c r="F45" s="363"/>
      <c r="H45" s="58" t="s">
        <v>20</v>
      </c>
      <c r="I45" s="59">
        <v>0.81</v>
      </c>
      <c r="J45" s="59">
        <v>0.19</v>
      </c>
    </row>
    <row r="46" spans="1:12">
      <c r="E46" s="363"/>
      <c r="F46" s="363"/>
    </row>
    <row r="47" spans="1:12" ht="15.75">
      <c r="A47" s="366" t="s">
        <v>478</v>
      </c>
      <c r="B47" s="2"/>
      <c r="C47" s="2"/>
      <c r="D47" s="96"/>
      <c r="E47" s="96"/>
      <c r="F47" s="95"/>
      <c r="G47" s="45"/>
      <c r="H47" s="139"/>
      <c r="I47" s="11"/>
      <c r="J47" s="11"/>
    </row>
    <row r="48" spans="1:12">
      <c r="E48" s="363"/>
      <c r="F48" s="363"/>
    </row>
    <row r="49" spans="5:6">
      <c r="E49" s="363"/>
      <c r="F49" s="363"/>
    </row>
    <row r="50" spans="5:6">
      <c r="E50" s="363"/>
      <c r="F50" s="363"/>
    </row>
    <row r="51" spans="5:6">
      <c r="E51" s="363"/>
      <c r="F51" s="363"/>
    </row>
    <row r="52" spans="5:6">
      <c r="E52" s="363"/>
      <c r="F52" s="363"/>
    </row>
  </sheetData>
  <pageMargins left="0.25" right="0.25" top="0.75" bottom="0.75" header="0.3" footer="0.3"/>
  <pageSetup scale="42" orientation="landscape" r:id="rId1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AF98E-5DF1-4218-B3DD-716E3E3F6082}">
  <sheetPr codeName="Sheet81">
    <pageSetUpPr fitToPage="1"/>
  </sheetPr>
  <dimension ref="A1:R21"/>
  <sheetViews>
    <sheetView zoomScaleNormal="100" workbookViewId="0">
      <selection activeCell="L12" sqref="L12"/>
    </sheetView>
  </sheetViews>
  <sheetFormatPr defaultRowHeight="15"/>
  <cols>
    <col min="1" max="1" width="38.85546875" customWidth="1"/>
    <col min="2" max="4" width="13" customWidth="1"/>
    <col min="5" max="5" width="14.42578125" customWidth="1"/>
    <col min="6" max="6" width="13" customWidth="1"/>
    <col min="7" max="7" width="11.140625" customWidth="1"/>
    <col min="8" max="8" width="14.42578125" customWidth="1"/>
    <col min="9" max="9" width="15.85546875" customWidth="1"/>
    <col min="10" max="10" width="6.28515625" customWidth="1"/>
    <col min="11" max="11" width="15.85546875" customWidth="1"/>
    <col min="12" max="12" width="23.85546875" customWidth="1"/>
    <col min="13" max="13" width="23" customWidth="1"/>
    <col min="14" max="14" width="12.140625" customWidth="1"/>
    <col min="15" max="15" width="15.140625" customWidth="1"/>
  </cols>
  <sheetData>
    <row r="1" spans="1:18" ht="21">
      <c r="A1" s="23" t="s">
        <v>0</v>
      </c>
    </row>
    <row r="2" spans="1:18" ht="15.75">
      <c r="A2" s="24" t="s">
        <v>1</v>
      </c>
    </row>
    <row r="3" spans="1:18">
      <c r="A3" s="22" t="s">
        <v>2</v>
      </c>
    </row>
    <row r="4" spans="1:18">
      <c r="F4" s="102"/>
      <c r="G4" s="102"/>
      <c r="H4" s="260"/>
      <c r="I4" s="260"/>
      <c r="J4" s="260"/>
    </row>
    <row r="5" spans="1:18" ht="15.75">
      <c r="A5" s="66" t="s">
        <v>479</v>
      </c>
    </row>
    <row r="6" spans="1:18" ht="15.75" thickBot="1">
      <c r="A6" s="67" t="s">
        <v>6</v>
      </c>
      <c r="B6" s="67" t="s">
        <v>6</v>
      </c>
      <c r="C6" s="67" t="s">
        <v>6</v>
      </c>
      <c r="D6" s="67" t="s">
        <v>6</v>
      </c>
      <c r="E6" s="67" t="s">
        <v>6</v>
      </c>
      <c r="F6" s="67" t="s">
        <v>6</v>
      </c>
      <c r="G6" s="67"/>
      <c r="H6" s="67" t="s">
        <v>6</v>
      </c>
      <c r="I6" s="67" t="s">
        <v>6</v>
      </c>
      <c r="J6" s="67"/>
    </row>
    <row r="7" spans="1:18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75</v>
      </c>
      <c r="I7" s="3" t="s">
        <v>75</v>
      </c>
      <c r="J7" s="3"/>
    </row>
    <row r="8" spans="1:18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  <c r="J8" s="7"/>
    </row>
    <row r="9" spans="1:18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  <c r="J9" s="8"/>
    </row>
    <row r="10" spans="1:18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8" ht="15.75">
      <c r="A11" s="22" t="s">
        <v>464</v>
      </c>
      <c r="B11" s="3" t="s">
        <v>465</v>
      </c>
      <c r="C11" s="2" t="s">
        <v>466</v>
      </c>
      <c r="D11" s="68">
        <v>0.85</v>
      </c>
      <c r="E11" s="69">
        <v>0.22</v>
      </c>
      <c r="F11" s="3" t="s">
        <v>218</v>
      </c>
      <c r="G11" s="3" t="s">
        <v>218</v>
      </c>
      <c r="H11" s="3" t="s">
        <v>153</v>
      </c>
      <c r="I11" s="12">
        <v>3.0200000000000001E-2</v>
      </c>
      <c r="J11" s="12"/>
    </row>
    <row r="12" spans="1:18" ht="15.75">
      <c r="A12" s="22" t="s">
        <v>467</v>
      </c>
      <c r="B12" s="3" t="s">
        <v>468</v>
      </c>
      <c r="C12" s="2" t="s">
        <v>466</v>
      </c>
      <c r="D12" s="68">
        <v>1</v>
      </c>
      <c r="E12" s="69">
        <v>0.24</v>
      </c>
      <c r="F12" s="3" t="s">
        <v>218</v>
      </c>
      <c r="G12" s="3" t="s">
        <v>220</v>
      </c>
      <c r="H12" s="68" t="s">
        <v>146</v>
      </c>
      <c r="I12" s="69">
        <v>3.3500000000000002E-2</v>
      </c>
      <c r="J12" s="69"/>
    </row>
    <row r="13" spans="1:18" ht="15.75">
      <c r="A13" s="22" t="s">
        <v>469</v>
      </c>
      <c r="B13" s="3" t="s">
        <v>470</v>
      </c>
      <c r="C13" s="2" t="s">
        <v>466</v>
      </c>
      <c r="D13" s="68">
        <v>1.05</v>
      </c>
      <c r="E13" s="69">
        <v>0.23599999999999999</v>
      </c>
      <c r="F13" s="3" t="s">
        <v>80</v>
      </c>
      <c r="G13" s="3" t="s">
        <v>220</v>
      </c>
      <c r="H13" s="68" t="s">
        <v>114</v>
      </c>
      <c r="I13" s="69">
        <v>3.3500000000000002E-2</v>
      </c>
      <c r="J13" s="69"/>
      <c r="N13" s="94" t="s">
        <v>6</v>
      </c>
    </row>
    <row r="14" spans="1:18" ht="15.75">
      <c r="A14" s="22" t="s">
        <v>471</v>
      </c>
      <c r="B14" s="3" t="s">
        <v>472</v>
      </c>
      <c r="C14" s="2" t="s">
        <v>466</v>
      </c>
      <c r="D14" s="68">
        <v>1.1000000000000001</v>
      </c>
      <c r="E14" s="69">
        <v>0.22800000000000001</v>
      </c>
      <c r="F14" s="3" t="s">
        <v>152</v>
      </c>
      <c r="G14" s="3"/>
      <c r="H14" s="68" t="s">
        <v>114</v>
      </c>
      <c r="I14" s="184">
        <v>3.3500000000000002E-2</v>
      </c>
      <c r="J14" s="184"/>
      <c r="R14" t="s">
        <v>6</v>
      </c>
    </row>
    <row r="15" spans="1:18" ht="15.75">
      <c r="A15" s="22" t="s">
        <v>480</v>
      </c>
      <c r="B15" s="3" t="s">
        <v>474</v>
      </c>
      <c r="C15" s="2" t="s">
        <v>466</v>
      </c>
      <c r="D15" s="68">
        <v>1.1000000000000001</v>
      </c>
      <c r="E15" s="69">
        <v>0.23</v>
      </c>
      <c r="F15" s="3" t="s">
        <v>145</v>
      </c>
      <c r="G15" s="3"/>
      <c r="H15" s="68" t="s">
        <v>114</v>
      </c>
      <c r="I15" s="69">
        <v>3.3500000000000002E-2</v>
      </c>
      <c r="J15" s="69"/>
      <c r="R15" t="s">
        <v>6</v>
      </c>
    </row>
    <row r="16" spans="1:18" ht="15.75" thickBot="1">
      <c r="D16" s="73"/>
      <c r="E16" s="73"/>
      <c r="F16" s="73"/>
      <c r="G16" s="73"/>
      <c r="H16" s="73"/>
      <c r="I16" s="73"/>
      <c r="J16" s="73"/>
      <c r="R16" t="s">
        <v>6</v>
      </c>
    </row>
    <row r="17" spans="3:18" ht="15.75" thickTop="1">
      <c r="C17" s="3" t="s">
        <v>54</v>
      </c>
      <c r="D17" s="3" t="s">
        <v>481</v>
      </c>
      <c r="E17" s="77" t="s">
        <v>482</v>
      </c>
      <c r="F17" s="3" t="s">
        <v>483</v>
      </c>
      <c r="G17" s="3" t="s">
        <v>484</v>
      </c>
      <c r="H17" s="68" t="s">
        <v>485</v>
      </c>
      <c r="I17" s="77" t="s">
        <v>311</v>
      </c>
      <c r="J17" s="77"/>
      <c r="R17" t="s">
        <v>6</v>
      </c>
    </row>
    <row r="18" spans="3:18">
      <c r="C18" s="77" t="s">
        <v>58</v>
      </c>
      <c r="D18" s="186">
        <f>AVERAGE(D11:D15)</f>
        <v>1.02</v>
      </c>
      <c r="E18" s="236">
        <f>AVERAGE(E11:E15)</f>
        <v>0.23079999999999998</v>
      </c>
      <c r="F18" s="3" t="s">
        <v>218</v>
      </c>
      <c r="G18" s="3" t="s">
        <v>220</v>
      </c>
      <c r="H18" s="68" t="s">
        <v>114</v>
      </c>
      <c r="I18" s="12">
        <f>MEDIAN(I11:I15)</f>
        <v>3.3500000000000002E-2</v>
      </c>
      <c r="J18" s="12"/>
      <c r="R18" t="s">
        <v>6</v>
      </c>
    </row>
    <row r="19" spans="3:18">
      <c r="C19" s="77" t="s">
        <v>29</v>
      </c>
      <c r="D19" s="186">
        <f>MEDIAN(D11:D15)</f>
        <v>1.05</v>
      </c>
      <c r="E19" s="12">
        <f>MEDIAN(E11:E15)</f>
        <v>0.23</v>
      </c>
      <c r="G19" s="77"/>
      <c r="I19" s="236">
        <f>AVERAGE(I11:I15)</f>
        <v>3.2840000000000001E-2</v>
      </c>
      <c r="J19" s="236"/>
      <c r="R19" t="s">
        <v>6</v>
      </c>
    </row>
    <row r="21" spans="3:18" ht="23.25">
      <c r="H21" s="367" t="s">
        <v>82</v>
      </c>
      <c r="I21" s="368">
        <v>3.3500000000000002E-2</v>
      </c>
      <c r="J21" s="368"/>
      <c r="K21" s="368"/>
    </row>
  </sheetData>
  <pageMargins left="0.25" right="0.25" top="0.75" bottom="0.75" header="0.3" footer="0.3"/>
  <pageSetup scale="49" orientation="landscape" r:id="rId1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7EA1-DD49-4FB7-B67C-5F6E23437A07}">
  <sheetPr codeName="Sheet82">
    <pageSetUpPr fitToPage="1"/>
  </sheetPr>
  <dimension ref="A1:N36"/>
  <sheetViews>
    <sheetView topLeftCell="A8" zoomScaleNormal="100" workbookViewId="0">
      <selection activeCell="L12" sqref="L12"/>
    </sheetView>
  </sheetViews>
  <sheetFormatPr defaultRowHeight="15"/>
  <cols>
    <col min="1" max="1" width="44.7109375" customWidth="1"/>
    <col min="2" max="2" width="12" bestFit="1" customWidth="1"/>
    <col min="3" max="3" width="18" bestFit="1" customWidth="1"/>
    <col min="4" max="4" width="21.42578125" customWidth="1"/>
    <col min="5" max="5" width="14.7109375" bestFit="1" customWidth="1"/>
    <col min="6" max="6" width="21.425781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/>
    </row>
    <row r="5" spans="1:6" ht="15.75">
      <c r="A5" s="66" t="s">
        <v>479</v>
      </c>
    </row>
    <row r="6" spans="1:6" ht="15.75">
      <c r="A6" s="66"/>
    </row>
    <row r="7" spans="1:6" ht="18.75">
      <c r="A7" s="66"/>
      <c r="D7" s="84" t="s">
        <v>83</v>
      </c>
    </row>
    <row r="8" spans="1:6" ht="18.75">
      <c r="A8" s="66"/>
      <c r="D8" s="84" t="s">
        <v>84</v>
      </c>
    </row>
    <row r="9" spans="1:6" ht="15.75">
      <c r="A9" s="66"/>
      <c r="D9" s="257"/>
    </row>
    <row r="10" spans="1:6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6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6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6">
      <c r="A13" s="3"/>
      <c r="B13" s="3"/>
      <c r="C13" s="3" t="s">
        <v>40</v>
      </c>
      <c r="D13" s="369" t="s">
        <v>147</v>
      </c>
      <c r="E13" s="3" t="s">
        <v>6</v>
      </c>
      <c r="F13" s="3"/>
    </row>
    <row r="14" spans="1:6">
      <c r="A14" s="8" t="s">
        <v>6</v>
      </c>
      <c r="B14" s="8" t="s">
        <v>6</v>
      </c>
      <c r="C14" s="8" t="s">
        <v>6</v>
      </c>
      <c r="D14" s="8" t="s">
        <v>6</v>
      </c>
      <c r="E14" s="8" t="s">
        <v>6</v>
      </c>
      <c r="F14" s="8" t="s">
        <v>6</v>
      </c>
    </row>
    <row r="15" spans="1:6">
      <c r="A15" s="3"/>
      <c r="B15" s="3"/>
      <c r="C15" s="3"/>
      <c r="D15" s="3"/>
      <c r="E15" s="3"/>
      <c r="F15" s="3"/>
    </row>
    <row r="16" spans="1:6">
      <c r="A16" s="22" t="s">
        <v>464</v>
      </c>
      <c r="B16" s="3" t="s">
        <v>465</v>
      </c>
      <c r="C16" s="86">
        <f>'[11]S&amp;D'!G18</f>
        <v>122.86</v>
      </c>
      <c r="D16" s="86">
        <v>6.75</v>
      </c>
      <c r="E16" s="86">
        <f t="shared" ref="E16:E20" si="0">C16/D16</f>
        <v>18.20148148148148</v>
      </c>
      <c r="F16" s="12">
        <f t="shared" ref="F16:F20" si="1">1/E16</f>
        <v>5.4940582777144725E-2</v>
      </c>
    </row>
    <row r="17" spans="1:14">
      <c r="A17" s="22" t="s">
        <v>467</v>
      </c>
      <c r="B17" s="3" t="s">
        <v>468</v>
      </c>
      <c r="C17" s="86">
        <f>'[11]S&amp;D'!G19</f>
        <v>71.94</v>
      </c>
      <c r="D17" s="68">
        <v>4</v>
      </c>
      <c r="E17" s="86">
        <f t="shared" si="0"/>
        <v>17.984999999999999</v>
      </c>
      <c r="F17" s="12">
        <f t="shared" si="1"/>
        <v>5.5601890464275786E-2</v>
      </c>
      <c r="N17" t="s">
        <v>6</v>
      </c>
    </row>
    <row r="18" spans="1:14">
      <c r="A18" s="22" t="s">
        <v>469</v>
      </c>
      <c r="B18" s="3" t="s">
        <v>470</v>
      </c>
      <c r="C18" s="86">
        <f>'[11]S&amp;D'!G20</f>
        <v>37.6</v>
      </c>
      <c r="D18" s="68">
        <v>2.25</v>
      </c>
      <c r="E18" s="86">
        <f t="shared" si="0"/>
        <v>16.711111111111112</v>
      </c>
      <c r="F18" s="12">
        <f t="shared" si="1"/>
        <v>5.984042553191489E-2</v>
      </c>
      <c r="N18" t="s">
        <v>6</v>
      </c>
    </row>
    <row r="19" spans="1:14">
      <c r="A19" s="22" t="s">
        <v>471</v>
      </c>
      <c r="B19" s="3" t="s">
        <v>472</v>
      </c>
      <c r="C19" s="86">
        <f>'[11]S&amp;D'!G21</f>
        <v>297.70999999999998</v>
      </c>
      <c r="D19" s="68">
        <v>17.25</v>
      </c>
      <c r="E19" s="86">
        <f t="shared" si="0"/>
        <v>17.258550724637679</v>
      </c>
      <c r="F19" s="109">
        <f t="shared" si="1"/>
        <v>5.7942292835309536E-2</v>
      </c>
      <c r="N19" t="s">
        <v>6</v>
      </c>
    </row>
    <row r="20" spans="1:14">
      <c r="A20" s="22" t="s">
        <v>480</v>
      </c>
      <c r="B20" s="3" t="s">
        <v>474</v>
      </c>
      <c r="C20" s="86">
        <f>'[11]S&amp;D'!G22</f>
        <v>251.77</v>
      </c>
      <c r="D20" s="68">
        <v>13.8</v>
      </c>
      <c r="E20" s="86">
        <f t="shared" si="0"/>
        <v>18.244202898550725</v>
      </c>
      <c r="F20" s="12">
        <f t="shared" si="1"/>
        <v>5.4811931524804382E-2</v>
      </c>
      <c r="N20" t="s">
        <v>6</v>
      </c>
    </row>
    <row r="21" spans="1:14" ht="15.75" thickBot="1">
      <c r="B21" s="76"/>
      <c r="C21" s="76"/>
      <c r="D21" s="76"/>
      <c r="E21" s="76"/>
      <c r="F21" s="76"/>
    </row>
    <row r="22" spans="1:14" ht="15.75" thickTop="1">
      <c r="B22" s="77" t="s">
        <v>54</v>
      </c>
      <c r="C22" s="150" t="s">
        <v>486</v>
      </c>
      <c r="D22" s="150" t="s">
        <v>487</v>
      </c>
      <c r="E22" s="150" t="s">
        <v>488</v>
      </c>
      <c r="F22" s="150" t="s">
        <v>489</v>
      </c>
    </row>
    <row r="23" spans="1:14">
      <c r="B23" s="77" t="s">
        <v>58</v>
      </c>
      <c r="C23" s="77">
        <f>MEDIAN(C16:C20)</f>
        <v>122.86</v>
      </c>
      <c r="D23" s="155">
        <f>MEDIAN(D16:D20)</f>
        <v>6.75</v>
      </c>
      <c r="E23" s="185">
        <f>MEDIAN(E16:E20)</f>
        <v>17.984999999999999</v>
      </c>
      <c r="F23" s="109">
        <f>MEDIAN(F16:F20)</f>
        <v>5.5601890464275786E-2</v>
      </c>
    </row>
    <row r="24" spans="1:14">
      <c r="B24" s="77" t="s">
        <v>29</v>
      </c>
      <c r="C24" s="370">
        <f>AVERAGE(C16:C20)</f>
        <v>156.376</v>
      </c>
      <c r="D24" s="370">
        <f>AVERAGE(D16:D20)</f>
        <v>8.8099999999999987</v>
      </c>
      <c r="E24" s="370">
        <f>AVERAGE(E16:E20)</f>
        <v>17.680069243156197</v>
      </c>
      <c r="F24" s="353">
        <f>AVERAGE(F16:F20)</f>
        <v>5.6627424626689869E-2</v>
      </c>
    </row>
    <row r="25" spans="1:14">
      <c r="C25" s="22"/>
      <c r="D25" s="22"/>
      <c r="E25" s="22"/>
      <c r="F25" s="22"/>
    </row>
    <row r="26" spans="1:14" ht="21">
      <c r="C26" s="22"/>
      <c r="D26" s="22"/>
      <c r="E26" s="58" t="s">
        <v>20</v>
      </c>
      <c r="F26" s="105">
        <v>5.5599999999999997E-2</v>
      </c>
    </row>
    <row r="29" spans="1:14">
      <c r="A29" s="258" t="s">
        <v>490</v>
      </c>
    </row>
    <row r="30" spans="1:14">
      <c r="A30" s="258"/>
    </row>
    <row r="31" spans="1:14">
      <c r="A31" s="258" t="s">
        <v>491</v>
      </c>
    </row>
    <row r="32" spans="1:14">
      <c r="A32" s="258" t="s">
        <v>492</v>
      </c>
    </row>
    <row r="33" spans="1:1">
      <c r="A33" s="258" t="s">
        <v>493</v>
      </c>
    </row>
    <row r="34" spans="1:1">
      <c r="A34" s="258" t="s">
        <v>494</v>
      </c>
    </row>
    <row r="35" spans="1:1">
      <c r="A35" s="258" t="s">
        <v>495</v>
      </c>
    </row>
    <row r="36" spans="1:1">
      <c r="A36" s="258" t="s">
        <v>496</v>
      </c>
    </row>
  </sheetData>
  <pageMargins left="0.25" right="0.25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4ACB-7CFA-4965-BF10-9F381D5CE09E}">
  <sheetPr codeName="Sheet7">
    <pageSetUpPr fitToPage="1"/>
  </sheetPr>
  <dimension ref="A1:L41"/>
  <sheetViews>
    <sheetView topLeftCell="A5" zoomScale="70" zoomScaleNormal="70" zoomScalePageLayoutView="70" workbookViewId="0">
      <selection activeCell="A29" sqref="A29:XFD29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0" t="s">
        <v>22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1" t="s">
        <v>6</v>
      </c>
      <c r="B10" s="32" t="s">
        <v>6</v>
      </c>
      <c r="C10" s="32" t="s">
        <v>6</v>
      </c>
      <c r="D10" s="32"/>
      <c r="E10" s="32"/>
      <c r="F10" s="32"/>
      <c r="G10" s="32" t="s">
        <v>6</v>
      </c>
      <c r="H10" s="33"/>
      <c r="I10" s="33"/>
      <c r="J10" s="33"/>
    </row>
    <row r="11" spans="1:12" ht="15.75">
      <c r="A11" s="34"/>
      <c r="B11" s="34"/>
      <c r="C11" s="34"/>
      <c r="F11" s="34"/>
      <c r="G11" s="34"/>
      <c r="H11" s="35" t="s">
        <v>23</v>
      </c>
      <c r="I11" s="35" t="s">
        <v>6</v>
      </c>
      <c r="J11" s="28"/>
    </row>
    <row r="12" spans="1:12" ht="15.75">
      <c r="A12" s="36"/>
      <c r="B12" s="36"/>
      <c r="C12" s="36"/>
      <c r="D12" s="376" t="s">
        <v>24</v>
      </c>
      <c r="E12" s="377"/>
      <c r="F12" s="37" t="s">
        <v>24</v>
      </c>
      <c r="G12" s="36"/>
      <c r="H12" s="36" t="s">
        <v>25</v>
      </c>
      <c r="I12" s="35" t="s">
        <v>23</v>
      </c>
      <c r="J12" s="35" t="s">
        <v>23</v>
      </c>
    </row>
    <row r="13" spans="1:12" ht="15.75">
      <c r="A13" s="36" t="s">
        <v>6</v>
      </c>
      <c r="B13" s="36" t="s">
        <v>26</v>
      </c>
      <c r="C13" s="36" t="s">
        <v>27</v>
      </c>
      <c r="D13" s="376" t="s">
        <v>28</v>
      </c>
      <c r="E13" s="377"/>
      <c r="F13" s="37" t="s">
        <v>29</v>
      </c>
      <c r="G13" s="35" t="s">
        <v>23</v>
      </c>
      <c r="H13" s="36" t="s">
        <v>30</v>
      </c>
      <c r="I13" s="38" t="s">
        <v>31</v>
      </c>
      <c r="J13" s="38" t="s">
        <v>32</v>
      </c>
    </row>
    <row r="14" spans="1:12" ht="16.5" thickBot="1">
      <c r="A14" s="39" t="s">
        <v>33</v>
      </c>
      <c r="B14" s="39" t="s">
        <v>34</v>
      </c>
      <c r="C14" s="39" t="s">
        <v>35</v>
      </c>
      <c r="D14" s="39" t="s">
        <v>36</v>
      </c>
      <c r="E14" s="39" t="s">
        <v>37</v>
      </c>
      <c r="F14" s="39" t="s">
        <v>28</v>
      </c>
      <c r="G14" s="39" t="s">
        <v>28</v>
      </c>
      <c r="H14" s="40" t="s">
        <v>92</v>
      </c>
      <c r="I14" s="39" t="s">
        <v>39</v>
      </c>
      <c r="J14" s="39" t="s">
        <v>39</v>
      </c>
    </row>
    <row r="15" spans="1:12" ht="15.75">
      <c r="A15" s="41" t="s">
        <v>40</v>
      </c>
      <c r="B15" s="41" t="s">
        <v>40</v>
      </c>
      <c r="C15" s="41" t="s">
        <v>40</v>
      </c>
      <c r="D15" s="41" t="s">
        <v>41</v>
      </c>
      <c r="E15" s="41" t="s">
        <v>41</v>
      </c>
      <c r="F15" s="41" t="s">
        <v>41</v>
      </c>
      <c r="G15" s="41" t="s">
        <v>40</v>
      </c>
      <c r="H15" s="41" t="s">
        <v>42</v>
      </c>
      <c r="I15" s="41" t="s">
        <v>42</v>
      </c>
      <c r="J15" s="41" t="s">
        <v>42</v>
      </c>
    </row>
    <row r="16" spans="1:12" ht="15.75">
      <c r="A16" s="36"/>
      <c r="B16" s="36"/>
      <c r="C16" s="36"/>
      <c r="D16" s="36"/>
      <c r="E16" s="36"/>
      <c r="F16" s="36"/>
      <c r="G16" s="36"/>
      <c r="H16" s="36"/>
      <c r="I16" s="42"/>
      <c r="J16" s="42"/>
    </row>
    <row r="17" spans="1:12" ht="15.75">
      <c r="A17" s="22" t="s">
        <v>93</v>
      </c>
      <c r="B17" s="3" t="s">
        <v>94</v>
      </c>
      <c r="C17" s="2" t="s">
        <v>45</v>
      </c>
      <c r="D17" s="13">
        <v>39.46</v>
      </c>
      <c r="E17" s="13">
        <v>38.93</v>
      </c>
      <c r="F17" s="43">
        <f t="shared" ref="F17" si="0">AVERAGE(D17,E17)</f>
        <v>39.195</v>
      </c>
      <c r="G17" s="43">
        <v>39.08</v>
      </c>
      <c r="H17" s="45">
        <f>649720387-9752872</f>
        <v>639967515</v>
      </c>
      <c r="I17" s="45">
        <v>0</v>
      </c>
      <c r="J17" s="45">
        <f>25138000000+1782000000</f>
        <v>26920000000</v>
      </c>
    </row>
    <row r="18" spans="1:12" ht="16.5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2" ht="15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2" ht="15.7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2" ht="15.75">
      <c r="A21" s="47"/>
      <c r="B21" s="47"/>
      <c r="C21" s="47"/>
      <c r="D21" s="47"/>
      <c r="E21" s="35" t="s">
        <v>6</v>
      </c>
      <c r="F21" s="47"/>
      <c r="G21" s="47"/>
      <c r="H21" s="47"/>
      <c r="I21" s="47"/>
      <c r="J21" s="47"/>
      <c r="K21" s="47"/>
      <c r="L21" s="47"/>
    </row>
    <row r="22" spans="1:12" ht="15.75">
      <c r="A22" s="36"/>
      <c r="B22" s="36"/>
      <c r="C22" s="36"/>
      <c r="D22" s="35" t="s">
        <v>23</v>
      </c>
      <c r="E22" s="35" t="s">
        <v>23</v>
      </c>
      <c r="F22" s="35" t="s">
        <v>23</v>
      </c>
      <c r="G22" s="35" t="s">
        <v>23</v>
      </c>
      <c r="H22" s="35" t="s">
        <v>23</v>
      </c>
      <c r="I22" s="35" t="s">
        <v>23</v>
      </c>
      <c r="J22" s="35" t="s">
        <v>23</v>
      </c>
    </row>
    <row r="23" spans="1:12" ht="15.75">
      <c r="A23" s="36" t="s">
        <v>6</v>
      </c>
      <c r="B23" s="36" t="s">
        <v>26</v>
      </c>
      <c r="C23" s="36" t="s">
        <v>27</v>
      </c>
      <c r="D23" s="36" t="s">
        <v>25</v>
      </c>
      <c r="E23" s="38" t="s">
        <v>31</v>
      </c>
      <c r="F23" s="36" t="s">
        <v>46</v>
      </c>
      <c r="G23" s="38" t="s">
        <v>47</v>
      </c>
      <c r="H23" s="38" t="s">
        <v>48</v>
      </c>
      <c r="I23" s="38" t="s">
        <v>49</v>
      </c>
      <c r="J23" s="38" t="s">
        <v>50</v>
      </c>
    </row>
    <row r="24" spans="1:12" ht="16.5" thickBot="1">
      <c r="A24" s="39" t="s">
        <v>33</v>
      </c>
      <c r="B24" s="39" t="s">
        <v>34</v>
      </c>
      <c r="C24" s="39" t="s">
        <v>35</v>
      </c>
      <c r="D24" s="39" t="s">
        <v>51</v>
      </c>
      <c r="E24" s="39" t="s">
        <v>51</v>
      </c>
      <c r="F24" s="39" t="s">
        <v>51</v>
      </c>
      <c r="G24" s="39" t="s">
        <v>51</v>
      </c>
      <c r="H24" s="39" t="s">
        <v>52</v>
      </c>
      <c r="I24" s="39" t="s">
        <v>6</v>
      </c>
      <c r="J24" s="39" t="s">
        <v>6</v>
      </c>
    </row>
    <row r="25" spans="1:12" ht="15.75">
      <c r="A25" s="41" t="s">
        <v>40</v>
      </c>
      <c r="B25" s="41" t="s">
        <v>40</v>
      </c>
      <c r="C25" s="41" t="s">
        <v>40</v>
      </c>
      <c r="D25" s="41" t="s">
        <v>53</v>
      </c>
      <c r="E25" s="41" t="s">
        <v>42</v>
      </c>
      <c r="F25" s="41" t="s">
        <v>53</v>
      </c>
      <c r="G25" s="41" t="s">
        <v>42</v>
      </c>
      <c r="H25" s="41" t="s">
        <v>53</v>
      </c>
      <c r="I25" s="41" t="s">
        <v>53</v>
      </c>
      <c r="J25" s="41" t="s">
        <v>53</v>
      </c>
    </row>
    <row r="26" spans="1:12" ht="15.75">
      <c r="A26" s="36"/>
      <c r="B26" s="36"/>
      <c r="C26" s="36"/>
      <c r="D26" s="47"/>
      <c r="E26" s="47"/>
      <c r="G26" s="42"/>
      <c r="H26" s="42"/>
      <c r="I26" s="42"/>
      <c r="J26" s="42"/>
    </row>
    <row r="27" spans="1:12" ht="15.75">
      <c r="A27" s="22" t="str">
        <f>+A17</f>
        <v xml:space="preserve">Delta Air Lines </v>
      </c>
      <c r="B27" s="3" t="str">
        <f>+B17</f>
        <v>DAL</v>
      </c>
      <c r="C27" s="2" t="str">
        <f>+C17</f>
        <v>Airtrans</v>
      </c>
      <c r="D27" s="95">
        <f>+G17*(H17)</f>
        <v>25009930486.200001</v>
      </c>
      <c r="E27" s="96">
        <f>(1/1)*I17</f>
        <v>0</v>
      </c>
      <c r="F27" s="97">
        <f>G41</f>
        <v>7759000000</v>
      </c>
      <c r="G27" s="45">
        <f>(26900/25084)*J17</f>
        <v>28868920427.364056</v>
      </c>
      <c r="H27" s="45">
        <f t="shared" ref="H27" si="1">+D27+E27+F27+G27</f>
        <v>61637850913.564056</v>
      </c>
      <c r="I27" s="11">
        <f t="shared" ref="I27" si="2">+D27/H27</f>
        <v>0.40575604300792228</v>
      </c>
      <c r="J27" s="11">
        <f t="shared" ref="J27" si="3">(+F27+G27)/H27</f>
        <v>0.59424395699207777</v>
      </c>
    </row>
    <row r="28" spans="1:12">
      <c r="G28" s="3" t="s">
        <v>6</v>
      </c>
    </row>
    <row r="29" spans="1:12" ht="15.75">
      <c r="H29" s="54"/>
      <c r="I29" s="54"/>
      <c r="J29" s="54"/>
    </row>
    <row r="30" spans="1:12" ht="15.75">
      <c r="A30" s="22" t="s">
        <v>57</v>
      </c>
      <c r="H30" s="54" t="s">
        <v>58</v>
      </c>
      <c r="I30" s="11">
        <f>MEDIAN(I27:I27)</f>
        <v>0.40575604300792228</v>
      </c>
      <c r="J30" s="11">
        <f>MEDIAN(J27:J27)</f>
        <v>0.59424395699207777</v>
      </c>
    </row>
    <row r="31" spans="1:12" ht="15.75">
      <c r="A31" s="22" t="s">
        <v>59</v>
      </c>
      <c r="F31" s="55" t="s">
        <v>6</v>
      </c>
      <c r="G31" t="s">
        <v>6</v>
      </c>
      <c r="H31" s="54" t="s">
        <v>29</v>
      </c>
      <c r="I31" s="15">
        <f>AVERAGE(I27:I27)</f>
        <v>0.40575604300792228</v>
      </c>
      <c r="J31" s="15">
        <f>AVERAGE(J27:J27)</f>
        <v>0.59424395699207777</v>
      </c>
    </row>
    <row r="32" spans="1:12" ht="15.75">
      <c r="A32" s="22" t="s">
        <v>60</v>
      </c>
      <c r="C32" s="56"/>
      <c r="D32" s="57"/>
      <c r="H32" s="24"/>
      <c r="I32" s="24"/>
      <c r="J32" s="24"/>
    </row>
    <row r="33" spans="3:10" ht="21">
      <c r="F33" s="55" t="s">
        <v>6</v>
      </c>
      <c r="H33" s="58" t="s">
        <v>20</v>
      </c>
      <c r="I33" s="59">
        <v>0.41</v>
      </c>
      <c r="J33" s="59">
        <v>0.59</v>
      </c>
    </row>
    <row r="34" spans="3:10">
      <c r="C34" s="56"/>
    </row>
    <row r="35" spans="3:10" ht="15.75">
      <c r="C35" s="56" t="s">
        <v>6</v>
      </c>
      <c r="H35" t="s">
        <v>6</v>
      </c>
      <c r="I35" s="24"/>
      <c r="J35" s="24"/>
    </row>
    <row r="36" spans="3:10">
      <c r="C36" s="56"/>
    </row>
    <row r="37" spans="3:10">
      <c r="C37" s="56"/>
    </row>
    <row r="38" spans="3:10">
      <c r="C38" s="56" t="s">
        <v>6</v>
      </c>
      <c r="H38" t="s">
        <v>6</v>
      </c>
    </row>
    <row r="39" spans="3:10">
      <c r="C39" s="56"/>
    </row>
    <row r="40" spans="3:10">
      <c r="C40" s="56"/>
      <c r="D40" s="60" t="s">
        <v>95</v>
      </c>
      <c r="E40" s="61" t="s">
        <v>33</v>
      </c>
      <c r="F40" s="62" t="s">
        <v>62</v>
      </c>
      <c r="G40" s="62" t="s">
        <v>63</v>
      </c>
      <c r="H40" t="s">
        <v>6</v>
      </c>
    </row>
    <row r="41" spans="3:10" ht="15" customHeight="1">
      <c r="C41" s="56"/>
      <c r="D41" s="98">
        <v>2969000000</v>
      </c>
      <c r="E41" s="99" t="str">
        <f>+A27</f>
        <v xml:space="preserve">Delta Air Lines </v>
      </c>
      <c r="F41" s="100">
        <v>7237000000</v>
      </c>
      <c r="G41" s="100">
        <f>(703+7056)*1000000</f>
        <v>7759000000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7A83-620E-4294-91C4-0029F62795E6}">
  <sheetPr codeName="Sheet8">
    <pageSetUpPr fitToPage="1"/>
  </sheetPr>
  <dimension ref="A1:J17"/>
  <sheetViews>
    <sheetView zoomScaleNormal="100" workbookViewId="0">
      <selection activeCell="C10" sqref="C10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66" t="s">
        <v>65</v>
      </c>
    </row>
    <row r="6" spans="1:10" ht="15.75" thickBot="1">
      <c r="A6" s="67" t="s">
        <v>6</v>
      </c>
      <c r="B6" s="67" t="s">
        <v>6</v>
      </c>
      <c r="C6" s="67" t="s">
        <v>6</v>
      </c>
      <c r="D6" s="67"/>
      <c r="E6" s="67"/>
      <c r="F6" s="67" t="s">
        <v>6</v>
      </c>
      <c r="G6" s="67" t="s">
        <v>6</v>
      </c>
      <c r="H6" s="67" t="s">
        <v>6</v>
      </c>
      <c r="I6" s="5"/>
    </row>
    <row r="7" spans="1:10">
      <c r="A7" s="3" t="s">
        <v>6</v>
      </c>
      <c r="B7" s="3" t="s">
        <v>26</v>
      </c>
      <c r="C7" s="3" t="s">
        <v>27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6</v>
      </c>
    </row>
    <row r="8" spans="1:10" ht="15.75" thickBot="1">
      <c r="A8" s="7" t="s">
        <v>33</v>
      </c>
      <c r="B8" s="7" t="s">
        <v>34</v>
      </c>
      <c r="C8" s="7" t="s">
        <v>35</v>
      </c>
      <c r="D8" s="7"/>
      <c r="E8" s="7" t="s">
        <v>71</v>
      </c>
      <c r="F8" s="7" t="s">
        <v>72</v>
      </c>
      <c r="G8" s="7" t="s">
        <v>73</v>
      </c>
      <c r="H8" s="7" t="s">
        <v>73</v>
      </c>
      <c r="I8" s="7" t="s">
        <v>74</v>
      </c>
    </row>
    <row r="9" spans="1:10">
      <c r="A9" s="8" t="s">
        <v>40</v>
      </c>
      <c r="B9" s="8" t="s">
        <v>40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69</v>
      </c>
      <c r="H9" s="8" t="s">
        <v>75</v>
      </c>
      <c r="I9" s="8" t="s">
        <v>75</v>
      </c>
    </row>
    <row r="10" spans="1:10">
      <c r="A10" s="3"/>
      <c r="B10" s="3"/>
      <c r="C10" s="3"/>
      <c r="D10" s="3"/>
      <c r="E10" s="3"/>
      <c r="F10" s="3"/>
      <c r="G10" s="3"/>
      <c r="H10" s="3"/>
    </row>
    <row r="11" spans="1:10">
      <c r="A11" s="22" t="s">
        <v>93</v>
      </c>
      <c r="B11" s="3" t="s">
        <v>94</v>
      </c>
      <c r="C11" s="3" t="s">
        <v>76</v>
      </c>
      <c r="D11" s="68">
        <v>1.55</v>
      </c>
      <c r="E11" s="69">
        <v>0</v>
      </c>
      <c r="F11" s="70" t="s">
        <v>78</v>
      </c>
      <c r="G11" s="68"/>
      <c r="H11" s="68" t="s">
        <v>96</v>
      </c>
      <c r="I11" s="72">
        <v>3.3500000000000002E-2</v>
      </c>
    </row>
    <row r="12" spans="1:10" ht="15.75" thickBot="1">
      <c r="A12" s="73" t="s">
        <v>6</v>
      </c>
      <c r="B12" s="74" t="s">
        <v>6</v>
      </c>
      <c r="C12" s="74" t="s">
        <v>6</v>
      </c>
      <c r="D12" s="74" t="s">
        <v>6</v>
      </c>
      <c r="E12" s="75" t="s">
        <v>6</v>
      </c>
      <c r="F12" s="74" t="s">
        <v>6</v>
      </c>
      <c r="G12" s="74" t="s">
        <v>6</v>
      </c>
      <c r="H12" s="75" t="s">
        <v>6</v>
      </c>
      <c r="I12" s="76"/>
    </row>
    <row r="13" spans="1:10" ht="15.75" thickTop="1">
      <c r="C13" s="77"/>
      <c r="D13" s="77"/>
      <c r="E13" s="77"/>
      <c r="F13" s="70"/>
      <c r="G13" s="68"/>
      <c r="H13" s="3"/>
      <c r="I13" s="77"/>
    </row>
    <row r="14" spans="1:10">
      <c r="C14" s="77" t="s">
        <v>58</v>
      </c>
      <c r="D14" s="78">
        <f>MEDIAN(D11:D11)</f>
        <v>1.55</v>
      </c>
      <c r="E14" s="79">
        <f>MEDIAN(E11:E11)</f>
        <v>0</v>
      </c>
      <c r="F14" s="70" t="s">
        <v>80</v>
      </c>
      <c r="G14" s="68" t="s">
        <v>6</v>
      </c>
      <c r="H14" s="3" t="s">
        <v>81</v>
      </c>
      <c r="I14" s="79">
        <f>MEDIAN(I11:I11)</f>
        <v>3.3500000000000002E-2</v>
      </c>
    </row>
    <row r="15" spans="1:10">
      <c r="C15" s="77" t="s">
        <v>29</v>
      </c>
      <c r="D15" s="80">
        <f>AVERAGE(D11:D11)</f>
        <v>1.55</v>
      </c>
      <c r="E15" s="81">
        <f>AVERAGE(E11:E11)</f>
        <v>0</v>
      </c>
      <c r="I15" s="81">
        <f>AVERAGE(I11:I11)</f>
        <v>3.3500000000000002E-2</v>
      </c>
    </row>
    <row r="16" spans="1:10">
      <c r="J16" s="82"/>
    </row>
    <row r="17" spans="8:10" ht="21">
      <c r="H17" s="58" t="s">
        <v>82</v>
      </c>
      <c r="I17" s="83">
        <v>3.3500000000000002E-2</v>
      </c>
      <c r="J17" s="8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4E69-2EBA-4004-B04C-2D3E2FBE9A19}">
  <sheetPr codeName="Sheet9">
    <pageSetUpPr fitToPage="1"/>
  </sheetPr>
  <dimension ref="A1:L32"/>
  <sheetViews>
    <sheetView topLeftCell="A2" zoomScale="90" zoomScaleNormal="90" workbookViewId="0">
      <selection activeCell="A20" sqref="A20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66" t="s">
        <v>65</v>
      </c>
    </row>
    <row r="6" spans="1:12" ht="15.75">
      <c r="A6" s="66"/>
    </row>
    <row r="7" spans="1:12" ht="18.75">
      <c r="A7" s="66"/>
      <c r="D7" s="84" t="s">
        <v>83</v>
      </c>
    </row>
    <row r="8" spans="1:12" ht="18.75">
      <c r="A8" s="66"/>
      <c r="D8" s="84" t="s">
        <v>84</v>
      </c>
    </row>
    <row r="9" spans="1:12" ht="15.75">
      <c r="A9" s="66"/>
    </row>
    <row r="10" spans="1:12" ht="15.75" thickBot="1">
      <c r="A10" s="67" t="s">
        <v>6</v>
      </c>
      <c r="B10" s="67" t="s">
        <v>6</v>
      </c>
      <c r="C10" s="67" t="s">
        <v>6</v>
      </c>
      <c r="D10" s="67" t="s">
        <v>6</v>
      </c>
      <c r="E10" s="67" t="s">
        <v>6</v>
      </c>
      <c r="F10" s="67" t="s">
        <v>6</v>
      </c>
    </row>
    <row r="11" spans="1:12">
      <c r="A11" s="3" t="s">
        <v>6</v>
      </c>
      <c r="B11" s="3" t="s">
        <v>26</v>
      </c>
      <c r="C11" s="3" t="s">
        <v>6</v>
      </c>
      <c r="D11" s="3" t="s">
        <v>85</v>
      </c>
      <c r="E11" s="3" t="s">
        <v>85</v>
      </c>
      <c r="F11" s="3" t="s">
        <v>86</v>
      </c>
    </row>
    <row r="12" spans="1:12" ht="15.75" thickBot="1">
      <c r="A12" s="7" t="s">
        <v>33</v>
      </c>
      <c r="B12" s="7" t="s">
        <v>34</v>
      </c>
      <c r="C12" s="7" t="s">
        <v>87</v>
      </c>
      <c r="D12" s="7" t="s">
        <v>88</v>
      </c>
      <c r="E12" s="7" t="s">
        <v>89</v>
      </c>
      <c r="F12" s="7" t="s">
        <v>90</v>
      </c>
    </row>
    <row r="13" spans="1:12">
      <c r="A13" s="8" t="s">
        <v>6</v>
      </c>
      <c r="B13" s="8" t="s">
        <v>6</v>
      </c>
      <c r="C13" s="8" t="s">
        <v>40</v>
      </c>
      <c r="D13" s="8" t="s">
        <v>40</v>
      </c>
      <c r="E13" s="8" t="s">
        <v>6</v>
      </c>
      <c r="F13" s="8" t="s">
        <v>6</v>
      </c>
    </row>
    <row r="14" spans="1:12">
      <c r="A14" s="3"/>
      <c r="B14" s="3"/>
      <c r="C14" s="3"/>
      <c r="D14" s="3"/>
      <c r="E14" s="3"/>
      <c r="F14" s="3"/>
    </row>
    <row r="15" spans="1:12">
      <c r="K15" s="85"/>
      <c r="L15" s="85"/>
    </row>
    <row r="16" spans="1:12">
      <c r="A16" s="22" t="s">
        <v>93</v>
      </c>
      <c r="B16" s="3" t="s">
        <v>94</v>
      </c>
      <c r="C16" s="70">
        <v>39.08</v>
      </c>
      <c r="D16" s="68">
        <v>9.25</v>
      </c>
      <c r="E16" s="86">
        <f t="shared" ref="E16" si="0">C16/D16</f>
        <v>4.2248648648648643</v>
      </c>
      <c r="F16" s="72">
        <f t="shared" ref="F16" si="1">1/E16</f>
        <v>0.23669396110542479</v>
      </c>
      <c r="K16" s="85"/>
      <c r="L16" s="85"/>
    </row>
    <row r="17" spans="1:6" ht="15.75" thickBot="1">
      <c r="A17" s="73" t="s">
        <v>6</v>
      </c>
      <c r="B17" s="74" t="s">
        <v>6</v>
      </c>
      <c r="C17" s="87" t="s">
        <v>6</v>
      </c>
      <c r="D17" s="88" t="s">
        <v>6</v>
      </c>
      <c r="E17" s="89" t="s">
        <v>6</v>
      </c>
      <c r="F17" s="90" t="s">
        <v>6</v>
      </c>
    </row>
    <row r="18" spans="1:6" ht="15.75" thickTop="1">
      <c r="B18" s="3"/>
      <c r="C18" s="77"/>
      <c r="D18" s="77"/>
      <c r="E18" s="77"/>
      <c r="F18" s="77"/>
    </row>
    <row r="19" spans="1:6">
      <c r="B19" s="3" t="s">
        <v>58</v>
      </c>
      <c r="C19" s="86">
        <f>MEDIAN(C16:C16)</f>
        <v>39.08</v>
      </c>
      <c r="D19" s="86">
        <f>MEDIAN(D16:D16)</f>
        <v>9.25</v>
      </c>
      <c r="E19" s="86">
        <f>MEDIAN(E16:E16)</f>
        <v>4.2248648648648643</v>
      </c>
      <c r="F19" s="91">
        <f>MEDIAN(F16:F16)</f>
        <v>0.23669396110542479</v>
      </c>
    </row>
    <row r="20" spans="1:6">
      <c r="B20" s="3" t="s">
        <v>29</v>
      </c>
      <c r="C20" s="86">
        <f>AVERAGE(C16:C16)</f>
        <v>39.08</v>
      </c>
      <c r="D20" s="86">
        <f>AVERAGE(D16:D16)</f>
        <v>9.25</v>
      </c>
      <c r="E20" s="86">
        <f>AVERAGE(E16:E16)</f>
        <v>4.2248648648648643</v>
      </c>
      <c r="F20" s="91">
        <f>AVERAGE(F16:F16)</f>
        <v>0.23669396110542479</v>
      </c>
    </row>
    <row r="21" spans="1:6">
      <c r="B21" s="3"/>
      <c r="C21" s="86"/>
      <c r="D21" s="86"/>
      <c r="E21" s="86"/>
      <c r="F21" s="81"/>
    </row>
    <row r="22" spans="1:6" ht="21">
      <c r="B22" s="3"/>
      <c r="C22" s="86"/>
      <c r="D22" s="86"/>
      <c r="E22" s="92" t="s">
        <v>20</v>
      </c>
      <c r="F22" s="83">
        <v>0.23669999999999999</v>
      </c>
    </row>
    <row r="23" spans="1:6">
      <c r="B23" s="3"/>
      <c r="C23" s="93"/>
      <c r="D23" s="93"/>
      <c r="E23" s="93"/>
      <c r="F23" s="94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FB36B36E7EE46B860E7832FBC9DDB" ma:contentTypeVersion="1" ma:contentTypeDescription="Create a new document." ma:contentTypeScope="" ma:versionID="bff476506a81a32367fb2f95cb3debc2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93ea9a64a9ab47897a537ad3dd05bc89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73160F-766B-4E34-8488-CB1D6555CF3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E03B4ED-B723-45B9-840F-361B28E24C99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BDCE1B-C993-48C4-9674-4962CB5AF362}"/>
</file>

<file path=customXml/itemProps3.xml><?xml version="1.0" encoding="utf-8"?>
<ds:datastoreItem xmlns:ds="http://schemas.openxmlformats.org/officeDocument/2006/customXml" ds:itemID="{F87E12FC-C98D-4152-BFC0-2CEB3478AD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29</vt:i4>
      </vt:variant>
    </vt:vector>
  </HeadingPairs>
  <TitlesOfParts>
    <vt:vector size="94" baseType="lpstr">
      <vt:lpstr>Index sheet</vt:lpstr>
      <vt:lpstr>CapRate_AC P United</vt:lpstr>
      <vt:lpstr>S&amp;D_AC P United</vt:lpstr>
      <vt:lpstr>Debt_AC P United</vt:lpstr>
      <vt:lpstr>CF Multiples_AC P United</vt:lpstr>
      <vt:lpstr>CapRate_AC P Delta</vt:lpstr>
      <vt:lpstr>S&amp;D_AC P Delta</vt:lpstr>
      <vt:lpstr>Debt_AC P Delta</vt:lpstr>
      <vt:lpstr>CF Multiples_AC P Delta</vt:lpstr>
      <vt:lpstr>CapRate_AC P Skywest</vt:lpstr>
      <vt:lpstr>S&amp;D_AC P Skywest</vt:lpstr>
      <vt:lpstr>Debt_AC P Skywest</vt:lpstr>
      <vt:lpstr>CF Multiples_AC P Skywest</vt:lpstr>
      <vt:lpstr>CapRate_AC P American</vt:lpstr>
      <vt:lpstr>S&amp;D_AC P American</vt:lpstr>
      <vt:lpstr>Debt_AC P American</vt:lpstr>
      <vt:lpstr>CF Multiples_AC P American</vt:lpstr>
      <vt:lpstr>CapRate_AC P Southwest</vt:lpstr>
      <vt:lpstr>S&amp;D_AC P Southwest</vt:lpstr>
      <vt:lpstr>Debt_AC P Southwest</vt:lpstr>
      <vt:lpstr>CF Multiples_AC P Southwest</vt:lpstr>
      <vt:lpstr>CapRate_AC P ALL</vt:lpstr>
      <vt:lpstr>S&amp;D_AC P ALL</vt:lpstr>
      <vt:lpstr>Debt_AC P ALL</vt:lpstr>
      <vt:lpstr>CF Multiples_AC P ALL</vt:lpstr>
      <vt:lpstr>CapRate_AC F FEDEX</vt:lpstr>
      <vt:lpstr>S&amp;D_AC F FEDEX</vt:lpstr>
      <vt:lpstr>Debt_AC F FEDEX</vt:lpstr>
      <vt:lpstr>CF Multiples_AC F FEDEX</vt:lpstr>
      <vt:lpstr>CapRate_AC F UPS</vt:lpstr>
      <vt:lpstr>S&amp;D_AC F UPS</vt:lpstr>
      <vt:lpstr>Debt_AC F UPS</vt:lpstr>
      <vt:lpstr>CF Multiples_AC F UPS</vt:lpstr>
      <vt:lpstr>CapRate_AC F ALL</vt:lpstr>
      <vt:lpstr>S&amp;D_AC F ALL</vt:lpstr>
      <vt:lpstr>Debt_AC F ALL</vt:lpstr>
      <vt:lpstr>CF Multiples_AC F ALL</vt:lpstr>
      <vt:lpstr>CapRate_EU</vt:lpstr>
      <vt:lpstr>S&amp;D_EU</vt:lpstr>
      <vt:lpstr>Debt_EU</vt:lpstr>
      <vt:lpstr>CF Multiples_EU</vt:lpstr>
      <vt:lpstr>CapRate_EU WHOLESALE</vt:lpstr>
      <vt:lpstr>S&amp;D_EU WHOLESALE</vt:lpstr>
      <vt:lpstr>Debt_EU WHOLESALE</vt:lpstr>
      <vt:lpstr>CF Multiples_EU WHOLESALE</vt:lpstr>
      <vt:lpstr>CapRate_ GAS DIST</vt:lpstr>
      <vt:lpstr>S&amp;D_GAS DIST</vt:lpstr>
      <vt:lpstr>Debt_GAS DIST</vt:lpstr>
      <vt:lpstr>CF Multiples_GAS DIST</vt:lpstr>
      <vt:lpstr>CapRate_GP</vt:lpstr>
      <vt:lpstr>S&amp;D_GP</vt:lpstr>
      <vt:lpstr>Debt_GP</vt:lpstr>
      <vt:lpstr>CF Multiples_GP</vt:lpstr>
      <vt:lpstr>CapRate_LQ PL</vt:lpstr>
      <vt:lpstr>S&amp;D_LQ PL</vt:lpstr>
      <vt:lpstr>Debt_LQ PL</vt:lpstr>
      <vt:lpstr>CF Multiples_LQ PL</vt:lpstr>
      <vt:lpstr>CapRate_WATER</vt:lpstr>
      <vt:lpstr>S&amp;D_WATER</vt:lpstr>
      <vt:lpstr>Debt_WATER</vt:lpstr>
      <vt:lpstr>CF Multiples_WATER</vt:lpstr>
      <vt:lpstr>CapRate_RR</vt:lpstr>
      <vt:lpstr>S&amp;D_RR</vt:lpstr>
      <vt:lpstr>Debt_RR</vt:lpstr>
      <vt:lpstr>CF Multiples_RR</vt:lpstr>
      <vt:lpstr>___INDEX_SHEET___ASAP_Utilities</vt:lpstr>
      <vt:lpstr>'CapRate_AC F ALL'!Print_Area</vt:lpstr>
      <vt:lpstr>'CapRate_AC F FEDEX'!Print_Area</vt:lpstr>
      <vt:lpstr>'CapRate_AC F UPS'!Print_Area</vt:lpstr>
      <vt:lpstr>'CapRate_AC P ALL'!Print_Area</vt:lpstr>
      <vt:lpstr>'CapRate_AC P American'!Print_Area</vt:lpstr>
      <vt:lpstr>'CapRate_AC P Delta'!Print_Area</vt:lpstr>
      <vt:lpstr>'CapRate_AC P Skywest'!Print_Area</vt:lpstr>
      <vt:lpstr>'CapRate_AC P Southwest'!Print_Area</vt:lpstr>
      <vt:lpstr>'CapRate_AC P United'!Print_Area</vt:lpstr>
      <vt:lpstr>'CF Multiples_GAS DIST'!Print_Area</vt:lpstr>
      <vt:lpstr>Debt_EU!Print_Area</vt:lpstr>
      <vt:lpstr>'Debt_EU WHOLESALE'!Print_Area</vt:lpstr>
      <vt:lpstr>'S&amp;D_AC F ALL'!Print_Area</vt:lpstr>
      <vt:lpstr>'S&amp;D_AC F FEDEX'!Print_Area</vt:lpstr>
      <vt:lpstr>'S&amp;D_AC F UPS'!Print_Area</vt:lpstr>
      <vt:lpstr>'S&amp;D_AC P ALL'!Print_Area</vt:lpstr>
      <vt:lpstr>'S&amp;D_AC P American'!Print_Area</vt:lpstr>
      <vt:lpstr>'S&amp;D_AC P Delta'!Print_Area</vt:lpstr>
      <vt:lpstr>'S&amp;D_AC P Skywest'!Print_Area</vt:lpstr>
      <vt:lpstr>'S&amp;D_AC P Southwest'!Print_Area</vt:lpstr>
      <vt:lpstr>'S&amp;D_AC P United'!Print_Area</vt:lpstr>
      <vt:lpstr>'S&amp;D_EU'!Print_Area</vt:lpstr>
      <vt:lpstr>'S&amp;D_EU WHOLESALE'!Print_Area</vt:lpstr>
      <vt:lpstr>'S&amp;D_GAS DIST'!Print_Area</vt:lpstr>
      <vt:lpstr>'S&amp;D_GP'!Print_Area</vt:lpstr>
      <vt:lpstr>'S&amp;D_LQ PL'!Print_Area</vt:lpstr>
      <vt:lpstr>'S&amp;D_RR'!Print_Area</vt:lpstr>
      <vt:lpstr>'S&amp;D_WATER'!Print_Area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CAP Rate Study_Worksheets</dc:title>
  <dc:creator>Carbin, Robert A (DOR)</dc:creator>
  <cp:keywords/>
  <dc:description/>
  <cp:lastModifiedBy>Baker, Mike A (DOR)</cp:lastModifiedBy>
  <dcterms:created xsi:type="dcterms:W3CDTF">2022-09-28T19:48:13Z</dcterms:created>
  <dcterms:modified xsi:type="dcterms:W3CDTF">2023-05-02T15:46:47Z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0x01010019CFB36B36E7EE46B860E7832FBC9DDB</vt:lpwstr>
  </property>
  <property fmtid="{D5CDD505-2E9C-101B-9397-08002B2CF9AE}" pid="3" name="Order">
    <vt:r8>2000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vti_imgdate">
    <vt:lpwstr/>
  </property>
</Properties>
</file>